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2020\Летний отдых и оздоровление\"/>
    </mc:Choice>
  </mc:AlternateContent>
  <xr:revisionPtr revIDLastSave="0" documentId="13_ncr:1_{D3FAAC2A-3B69-49FC-A5AE-7BD3B349BE8E}" xr6:coauthVersionLast="45" xr6:coauthVersionMax="45" xr10:uidLastSave="{00000000-0000-0000-0000-000000000000}"/>
  <bookViews>
    <workbookView xWindow="-108" yWindow="-108" windowWidth="23256" windowHeight="12576" tabRatio="828" xr2:uid="{00000000-000D-0000-FFFF-FFFF00000000}"/>
  </bookViews>
  <sheets>
    <sheet name="Школы" sheetId="36" r:id="rId1"/>
    <sheet name="санкур и проезд к распоряж факт" sheetId="28" state="hidden" r:id="rId2"/>
    <sheet name="санкур и  проезд на 2019 увелич" sheetId="18" state="hidden" r:id="rId3"/>
    <sheet name="санкур  проезд на 2019 по заявк" sheetId="5" state="hidden" r:id="rId4"/>
    <sheet name="проезд Лизе к бюджету 2018" sheetId="6" state="hidden" r:id="rId5"/>
    <sheet name="соц под на 2018" sheetId="7" state="hidden" r:id="rId6"/>
    <sheet name="ПЕРЕД отдых-проезд  апр18 РИТА " sheetId="9" state="hidden" r:id="rId7"/>
    <sheet name="ПЕРЕД отдых-проезд  апр18 СВЕТА" sheetId="12" state="hidden" r:id="rId8"/>
    <sheet name="Для ОО" sheetId="10" state="hidden" r:id="rId9"/>
    <sheet name="Для отд спорта" sheetId="11" state="hidden" r:id="rId10"/>
    <sheet name="ПЕРЕДИЖКА  9 мес  " sheetId="14" state="hidden" r:id="rId11"/>
    <sheet name="для МН для таблицы" sheetId="16" state="hidden" r:id="rId12"/>
    <sheet name="экономия 2018" sheetId="19" state="hidden" r:id="rId13"/>
    <sheet name="для передвижки 5 млн" sheetId="25" state="hidden" r:id="rId14"/>
    <sheet name="экономия 2018 (2)" sheetId="26" state="hidden" r:id="rId15"/>
    <sheet name="список от расчетнгого 07,09,18" sheetId="27" state="hidden" r:id="rId16"/>
  </sheets>
  <externalReferences>
    <externalReference r:id="rId17"/>
  </externalReferences>
  <definedNames>
    <definedName name="_xlnm._FilterDatabase" localSheetId="6" hidden="1">'ПЕРЕД отдых-проезд  апр18 РИТА '!$A$3:$AQ$79</definedName>
    <definedName name="_xlnm._FilterDatabase" localSheetId="7" hidden="1">'ПЕРЕД отдых-проезд  апр18 СВЕТА'!$A$3:$AQ$79</definedName>
    <definedName name="_xlnm._FilterDatabase" localSheetId="10" hidden="1">'ПЕРЕДИЖКА  9 мес  '!$A$3:$AS$76</definedName>
    <definedName name="_xlnm._FilterDatabase" localSheetId="3" hidden="1">'санкур  проезд на 2019 по заявк'!$A$3:$I$76</definedName>
    <definedName name="_xlnm._FilterDatabase" localSheetId="2" hidden="1">'санкур и  проезд на 2019 увелич'!$A$3:$I$75</definedName>
    <definedName name="_xlnm._FilterDatabase" localSheetId="1" hidden="1">'санкур и проезд к распоряж факт'!$A$3:$S$75</definedName>
    <definedName name="_xlnm._FilterDatabase" localSheetId="0" hidden="1">Школы!$A$2:$E$74</definedName>
    <definedName name="_xlnm._FilterDatabase" localSheetId="12" hidden="1">'экономия 2018'!$A$2:$J$75</definedName>
    <definedName name="_xlnm._FilterDatabase" localSheetId="14" hidden="1">'экономия 2018 (2)'!$A$2:$T$76</definedName>
    <definedName name="_xlnm.Print_Area" localSheetId="13">'для передвижки 5 млн'!$A$1:$N$20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36" l="1"/>
  <c r="E48" i="36"/>
  <c r="E45" i="36"/>
  <c r="E33" i="36"/>
  <c r="E30" i="36"/>
  <c r="E15" i="36"/>
  <c r="E27" i="36" l="1"/>
  <c r="E52" i="36"/>
  <c r="E3" i="36"/>
  <c r="E10" i="36"/>
  <c r="E14" i="36"/>
  <c r="E36" i="36"/>
  <c r="E39" i="36"/>
  <c r="E41" i="36"/>
  <c r="E71" i="36"/>
  <c r="E72" i="36"/>
  <c r="E73" i="36"/>
  <c r="E9" i="36"/>
  <c r="E23" i="36"/>
  <c r="E34" i="36"/>
  <c r="E35" i="36"/>
  <c r="E37" i="36"/>
  <c r="E38" i="36"/>
  <c r="E40" i="36"/>
  <c r="E46" i="36"/>
  <c r="E44" i="36"/>
  <c r="E59" i="36"/>
  <c r="E4" i="36"/>
  <c r="E5" i="36"/>
  <c r="E12" i="36"/>
  <c r="E13" i="36"/>
  <c r="E42" i="36"/>
  <c r="E55" i="36"/>
  <c r="E62" i="36"/>
  <c r="E64" i="36"/>
  <c r="E7" i="36"/>
  <c r="E16" i="36"/>
  <c r="E22" i="36"/>
  <c r="E54" i="36"/>
  <c r="E6" i="36"/>
  <c r="E18" i="36"/>
  <c r="E21" i="36"/>
  <c r="E26" i="36"/>
  <c r="E43" i="36"/>
  <c r="E8" i="36"/>
  <c r="E17" i="36"/>
  <c r="E20" i="36"/>
  <c r="E25" i="36"/>
  <c r="E31" i="36"/>
  <c r="E67" i="36"/>
  <c r="E19" i="36"/>
  <c r="E29" i="36"/>
  <c r="E56" i="36"/>
  <c r="E65" i="36"/>
  <c r="E11" i="36"/>
  <c r="E32" i="36"/>
  <c r="E49" i="36"/>
  <c r="E51" i="36"/>
  <c r="E53" i="36"/>
  <c r="E57" i="36"/>
  <c r="E58" i="36"/>
  <c r="E60" i="36"/>
  <c r="E63" i="36"/>
  <c r="E68" i="36"/>
  <c r="E70" i="36"/>
  <c r="E28" i="36" l="1"/>
  <c r="E66" i="36"/>
  <c r="E24" i="36"/>
  <c r="E69" i="36"/>
  <c r="E47" i="36"/>
  <c r="E61" i="36"/>
  <c r="E74" i="36"/>
  <c r="H68" i="28" l="1"/>
  <c r="R64" i="28" l="1"/>
  <c r="R65" i="28"/>
  <c r="R67" i="28"/>
  <c r="R68" i="28"/>
  <c r="R70" i="28"/>
  <c r="R72" i="28"/>
  <c r="R73" i="28"/>
  <c r="R5" i="28"/>
  <c r="R6" i="28"/>
  <c r="R7" i="28"/>
  <c r="R8" i="28"/>
  <c r="R13" i="28"/>
  <c r="R14" i="28"/>
  <c r="R16" i="28"/>
  <c r="R19" i="28"/>
  <c r="R20" i="28"/>
  <c r="R22" i="28"/>
  <c r="R23" i="28"/>
  <c r="R26" i="28"/>
  <c r="R27" i="28"/>
  <c r="R30" i="28"/>
  <c r="R31" i="28"/>
  <c r="R32" i="28"/>
  <c r="R33" i="28"/>
  <c r="R35" i="28"/>
  <c r="R37" i="28"/>
  <c r="R38" i="28"/>
  <c r="R39" i="28"/>
  <c r="R40" i="28"/>
  <c r="R41" i="28"/>
  <c r="R45" i="28"/>
  <c r="R46" i="28"/>
  <c r="R47" i="28"/>
  <c r="R48" i="28"/>
  <c r="R50" i="28"/>
  <c r="R51" i="28"/>
  <c r="R52" i="28"/>
  <c r="R53" i="28"/>
  <c r="R54" i="28"/>
  <c r="R59" i="28"/>
  <c r="R60" i="28"/>
  <c r="R61" i="28"/>
  <c r="R62" i="28"/>
  <c r="R63" i="28"/>
  <c r="R4" i="28"/>
  <c r="D77" i="28"/>
  <c r="O75" i="28" l="1"/>
  <c r="N75" i="28"/>
  <c r="K75" i="28"/>
  <c r="P5" i="28"/>
  <c r="P6" i="28"/>
  <c r="P7" i="28"/>
  <c r="P8" i="28"/>
  <c r="P9" i="28"/>
  <c r="P10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33" i="28"/>
  <c r="P34" i="28"/>
  <c r="P35" i="28"/>
  <c r="P36" i="28"/>
  <c r="P37" i="28"/>
  <c r="P38" i="28"/>
  <c r="P40" i="28"/>
  <c r="P41" i="28"/>
  <c r="P43" i="28"/>
  <c r="P46" i="28"/>
  <c r="P47" i="28"/>
  <c r="P48" i="28"/>
  <c r="P49" i="28"/>
  <c r="P50" i="28"/>
  <c r="P51" i="28"/>
  <c r="P52" i="28"/>
  <c r="P53" i="28"/>
  <c r="P54" i="28"/>
  <c r="P55" i="28"/>
  <c r="P56" i="28"/>
  <c r="P57" i="28"/>
  <c r="P58" i="28"/>
  <c r="P59" i="28"/>
  <c r="P60" i="28"/>
  <c r="P61" i="28"/>
  <c r="P63" i="28"/>
  <c r="P64" i="28"/>
  <c r="P66" i="28"/>
  <c r="P67" i="28"/>
  <c r="P68" i="28"/>
  <c r="P69" i="28"/>
  <c r="P70" i="28"/>
  <c r="P71" i="28"/>
  <c r="P72" i="28"/>
  <c r="P73" i="28"/>
  <c r="P4" i="28"/>
  <c r="H74" i="28"/>
  <c r="P75" i="28" l="1"/>
  <c r="H2" i="28" l="1"/>
  <c r="G75" i="28"/>
  <c r="F75" i="28"/>
  <c r="E75" i="28"/>
  <c r="I74" i="28"/>
  <c r="L74" i="28" s="1"/>
  <c r="Q74" i="28" s="1"/>
  <c r="H73" i="28"/>
  <c r="H72" i="28"/>
  <c r="H71" i="28"/>
  <c r="H70" i="28"/>
  <c r="H69" i="28"/>
  <c r="I69" i="28" s="1"/>
  <c r="L69" i="28" s="1"/>
  <c r="Q69" i="28" s="1"/>
  <c r="I68" i="28"/>
  <c r="H67" i="28"/>
  <c r="L67" i="28" s="1"/>
  <c r="Q67" i="28" s="1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L59" i="28" l="1"/>
  <c r="D81" i="28"/>
  <c r="D82" i="28"/>
  <c r="D80" i="28"/>
  <c r="C69" i="28"/>
  <c r="R69" i="28" s="1"/>
  <c r="C74" i="28"/>
  <c r="R74" i="28" s="1"/>
  <c r="L68" i="28"/>
  <c r="Q68" i="28" s="1"/>
  <c r="L18" i="28"/>
  <c r="Q18" i="28" s="1"/>
  <c r="L12" i="28"/>
  <c r="Q12" i="28" s="1"/>
  <c r="L28" i="28"/>
  <c r="Q28" i="28" s="1"/>
  <c r="L44" i="28"/>
  <c r="L48" i="28"/>
  <c r="Q48" i="28" s="1"/>
  <c r="L29" i="28"/>
  <c r="Q29" i="28" s="1"/>
  <c r="L21" i="28"/>
  <c r="Q21" i="28" s="1"/>
  <c r="L62" i="28"/>
  <c r="Q62" i="28" s="1"/>
  <c r="L9" i="28"/>
  <c r="Q9" i="28" s="1"/>
  <c r="L25" i="28"/>
  <c r="Q25" i="28" s="1"/>
  <c r="I7" i="28"/>
  <c r="L7" i="28" s="1"/>
  <c r="Q7" i="28" s="1"/>
  <c r="I15" i="28"/>
  <c r="L15" i="28" s="1"/>
  <c r="Q15" i="28" s="1"/>
  <c r="I23" i="28"/>
  <c r="L23" i="28" s="1"/>
  <c r="Q23" i="28" s="1"/>
  <c r="I31" i="28"/>
  <c r="L31" i="28" s="1"/>
  <c r="Q31" i="28" s="1"/>
  <c r="I39" i="28"/>
  <c r="L39" i="28" s="1"/>
  <c r="Q39" i="28" s="1"/>
  <c r="I47" i="28"/>
  <c r="L47" i="28" s="1"/>
  <c r="Q47" i="28" s="1"/>
  <c r="I55" i="28"/>
  <c r="L55" i="28" s="1"/>
  <c r="Q55" i="28" s="1"/>
  <c r="I63" i="28"/>
  <c r="L63" i="28" s="1"/>
  <c r="Q63" i="28" s="1"/>
  <c r="I71" i="28"/>
  <c r="L71" i="28" s="1"/>
  <c r="Q71" i="28" s="1"/>
  <c r="I4" i="28"/>
  <c r="L4" i="28" s="1"/>
  <c r="I24" i="28"/>
  <c r="L24" i="28" s="1"/>
  <c r="Q24" i="28" s="1"/>
  <c r="I36" i="28"/>
  <c r="L36" i="28" s="1"/>
  <c r="Q36" i="28" s="1"/>
  <c r="I52" i="28"/>
  <c r="L52" i="28" s="1"/>
  <c r="Q52" i="28" s="1"/>
  <c r="I60" i="28"/>
  <c r="L60" i="28" s="1"/>
  <c r="Q60" i="28" s="1"/>
  <c r="I5" i="28"/>
  <c r="L5" i="28" s="1"/>
  <c r="Q5" i="28" s="1"/>
  <c r="I13" i="28"/>
  <c r="L13" i="28" s="1"/>
  <c r="Q13" i="28" s="1"/>
  <c r="I17" i="28"/>
  <c r="L17" i="28" s="1"/>
  <c r="Q17" i="28" s="1"/>
  <c r="I33" i="28"/>
  <c r="L33" i="28" s="1"/>
  <c r="Q33" i="28" s="1"/>
  <c r="I37" i="28"/>
  <c r="L37" i="28" s="1"/>
  <c r="Q37" i="28" s="1"/>
  <c r="I41" i="28"/>
  <c r="L41" i="28" s="1"/>
  <c r="Q41" i="28" s="1"/>
  <c r="I45" i="28"/>
  <c r="L45" i="28" s="1"/>
  <c r="Q45" i="28" s="1"/>
  <c r="I49" i="28"/>
  <c r="L49" i="28" s="1"/>
  <c r="Q49" i="28" s="1"/>
  <c r="I53" i="28"/>
  <c r="L53" i="28" s="1"/>
  <c r="Q53" i="28" s="1"/>
  <c r="I57" i="28"/>
  <c r="L57" i="28" s="1"/>
  <c r="Q57" i="28" s="1"/>
  <c r="I61" i="28"/>
  <c r="L61" i="28" s="1"/>
  <c r="Q61" i="28" s="1"/>
  <c r="I65" i="28"/>
  <c r="L65" i="28" s="1"/>
  <c r="Q65" i="28" s="1"/>
  <c r="I73" i="28"/>
  <c r="L73" i="28" s="1"/>
  <c r="Q73" i="28" s="1"/>
  <c r="I11" i="28"/>
  <c r="L11" i="28" s="1"/>
  <c r="Q11" i="28" s="1"/>
  <c r="I19" i="28"/>
  <c r="L19" i="28" s="1"/>
  <c r="Q19" i="28" s="1"/>
  <c r="I27" i="28"/>
  <c r="L27" i="28" s="1"/>
  <c r="Q27" i="28" s="1"/>
  <c r="I35" i="28"/>
  <c r="L35" i="28" s="1"/>
  <c r="Q35" i="28" s="1"/>
  <c r="I43" i="28"/>
  <c r="L43" i="28" s="1"/>
  <c r="Q43" i="28" s="1"/>
  <c r="C43" i="28" s="1"/>
  <c r="R43" i="28" s="1"/>
  <c r="I51" i="28"/>
  <c r="L51" i="28" s="1"/>
  <c r="Q51" i="28" s="1"/>
  <c r="Q59" i="28"/>
  <c r="I8" i="28"/>
  <c r="L8" i="28" s="1"/>
  <c r="Q8" i="28" s="1"/>
  <c r="I16" i="28"/>
  <c r="L16" i="28" s="1"/>
  <c r="Q16" i="28" s="1"/>
  <c r="I20" i="28"/>
  <c r="L20" i="28" s="1"/>
  <c r="Q20" i="28" s="1"/>
  <c r="I32" i="28"/>
  <c r="L32" i="28" s="1"/>
  <c r="Q32" i="28" s="1"/>
  <c r="I40" i="28"/>
  <c r="L40" i="28" s="1"/>
  <c r="Q40" i="28" s="1"/>
  <c r="I56" i="28"/>
  <c r="L56" i="28" s="1"/>
  <c r="Q56" i="28" s="1"/>
  <c r="I64" i="28"/>
  <c r="L64" i="28" s="1"/>
  <c r="Q64" i="28" s="1"/>
  <c r="I72" i="28"/>
  <c r="L72" i="28" s="1"/>
  <c r="Q72" i="28" s="1"/>
  <c r="I6" i="28"/>
  <c r="I10" i="28"/>
  <c r="L10" i="28" s="1"/>
  <c r="Q10" i="28" s="1"/>
  <c r="I14" i="28"/>
  <c r="L14" i="28" s="1"/>
  <c r="Q14" i="28" s="1"/>
  <c r="I22" i="28"/>
  <c r="L22" i="28" s="1"/>
  <c r="Q22" i="28" s="1"/>
  <c r="L26" i="28"/>
  <c r="Q26" i="28" s="1"/>
  <c r="I30" i="28"/>
  <c r="L30" i="28" s="1"/>
  <c r="Q30" i="28" s="1"/>
  <c r="I34" i="28"/>
  <c r="L34" i="28" s="1"/>
  <c r="Q34" i="28" s="1"/>
  <c r="I38" i="28"/>
  <c r="L38" i="28" s="1"/>
  <c r="Q38" i="28" s="1"/>
  <c r="I42" i="28"/>
  <c r="L42" i="28" s="1"/>
  <c r="Q42" i="28" s="1"/>
  <c r="L46" i="28"/>
  <c r="Q46" i="28" s="1"/>
  <c r="I50" i="28"/>
  <c r="L50" i="28" s="1"/>
  <c r="Q50" i="28" s="1"/>
  <c r="I54" i="28"/>
  <c r="L54" i="28" s="1"/>
  <c r="Q54" i="28" s="1"/>
  <c r="I58" i="28"/>
  <c r="L58" i="28" s="1"/>
  <c r="Q58" i="28" s="1"/>
  <c r="I66" i="28"/>
  <c r="L66" i="28" s="1"/>
  <c r="Q66" i="28" s="1"/>
  <c r="I70" i="28"/>
  <c r="L70" i="28" s="1"/>
  <c r="Q70" i="28" s="1"/>
  <c r="J10" i="28"/>
  <c r="J4" i="28"/>
  <c r="J34" i="28"/>
  <c r="J66" i="28"/>
  <c r="J62" i="28"/>
  <c r="J30" i="28"/>
  <c r="J50" i="28"/>
  <c r="J18" i="28"/>
  <c r="J46" i="28"/>
  <c r="J14" i="28"/>
  <c r="H75" i="28"/>
  <c r="J74" i="28"/>
  <c r="J58" i="28"/>
  <c r="J42" i="28"/>
  <c r="J26" i="28"/>
  <c r="J7" i="28"/>
  <c r="J11" i="28"/>
  <c r="J15" i="28"/>
  <c r="J19" i="28"/>
  <c r="J23" i="28"/>
  <c r="J27" i="28"/>
  <c r="J31" i="28"/>
  <c r="J35" i="28"/>
  <c r="J39" i="28"/>
  <c r="J43" i="28"/>
  <c r="J47" i="28"/>
  <c r="J51" i="28"/>
  <c r="J55" i="28"/>
  <c r="J59" i="28"/>
  <c r="J63" i="28"/>
  <c r="J67" i="28"/>
  <c r="J71" i="28"/>
  <c r="J5" i="28"/>
  <c r="J9" i="28"/>
  <c r="J13" i="28"/>
  <c r="J17" i="28"/>
  <c r="J21" i="28"/>
  <c r="J25" i="28"/>
  <c r="J29" i="28"/>
  <c r="J33" i="28"/>
  <c r="J37" i="28"/>
  <c r="J41" i="28"/>
  <c r="J45" i="28"/>
  <c r="J49" i="28"/>
  <c r="J53" i="28"/>
  <c r="J57" i="28"/>
  <c r="J61" i="28"/>
  <c r="J65" i="28"/>
  <c r="J69" i="28"/>
  <c r="J73" i="28"/>
  <c r="J8" i="28"/>
  <c r="J12" i="28"/>
  <c r="J16" i="28"/>
  <c r="J20" i="28"/>
  <c r="J24" i="28"/>
  <c r="J28" i="28"/>
  <c r="J32" i="28"/>
  <c r="J36" i="28"/>
  <c r="J40" i="28"/>
  <c r="J44" i="28"/>
  <c r="J48" i="28"/>
  <c r="J52" i="28"/>
  <c r="J56" i="28"/>
  <c r="J60" i="28"/>
  <c r="J64" i="28"/>
  <c r="J68" i="28"/>
  <c r="J72" i="28"/>
  <c r="J70" i="28"/>
  <c r="J54" i="28"/>
  <c r="J38" i="28"/>
  <c r="J22" i="28"/>
  <c r="J6" i="28"/>
  <c r="T80" i="26"/>
  <c r="Q74" i="26"/>
  <c r="F74" i="26"/>
  <c r="F78" i="26" s="1"/>
  <c r="E74" i="26"/>
  <c r="D74" i="26"/>
  <c r="X73" i="26"/>
  <c r="W73" i="26"/>
  <c r="V73" i="26"/>
  <c r="T73" i="26"/>
  <c r="R73" i="26"/>
  <c r="S73" i="26" s="1"/>
  <c r="P73" i="26"/>
  <c r="O73" i="26" s="1"/>
  <c r="X72" i="26"/>
  <c r="W72" i="26"/>
  <c r="V72" i="26"/>
  <c r="T72" i="26"/>
  <c r="R72" i="26"/>
  <c r="S72" i="26" s="1"/>
  <c r="P72" i="26"/>
  <c r="O72" i="26" s="1"/>
  <c r="X71" i="26"/>
  <c r="W71" i="26"/>
  <c r="V71" i="26"/>
  <c r="T71" i="26"/>
  <c r="R71" i="26"/>
  <c r="S71" i="26" s="1"/>
  <c r="P71" i="26"/>
  <c r="O71" i="26" s="1"/>
  <c r="X70" i="26"/>
  <c r="W70" i="26"/>
  <c r="V70" i="26"/>
  <c r="T70" i="26"/>
  <c r="R70" i="26"/>
  <c r="S70" i="26" s="1"/>
  <c r="P70" i="26"/>
  <c r="O70" i="26" s="1"/>
  <c r="X69" i="26"/>
  <c r="W69" i="26"/>
  <c r="V69" i="26"/>
  <c r="T69" i="26"/>
  <c r="R69" i="26"/>
  <c r="S69" i="26" s="1"/>
  <c r="P69" i="26"/>
  <c r="O69" i="26" s="1"/>
  <c r="X68" i="26"/>
  <c r="W68" i="26"/>
  <c r="V68" i="26"/>
  <c r="T68" i="26"/>
  <c r="R68" i="26"/>
  <c r="S68" i="26" s="1"/>
  <c r="P68" i="26"/>
  <c r="O68" i="26" s="1"/>
  <c r="X67" i="26"/>
  <c r="W67" i="26"/>
  <c r="V67" i="26"/>
  <c r="T67" i="26"/>
  <c r="R67" i="26"/>
  <c r="S67" i="26" s="1"/>
  <c r="P67" i="26"/>
  <c r="O67" i="26" s="1"/>
  <c r="X66" i="26"/>
  <c r="W66" i="26"/>
  <c r="V66" i="26"/>
  <c r="T66" i="26"/>
  <c r="R66" i="26"/>
  <c r="S66" i="26" s="1"/>
  <c r="P66" i="26"/>
  <c r="O66" i="26" s="1"/>
  <c r="X65" i="26"/>
  <c r="W65" i="26"/>
  <c r="V65" i="26"/>
  <c r="T65" i="26"/>
  <c r="R65" i="26"/>
  <c r="S65" i="26" s="1"/>
  <c r="O65" i="26"/>
  <c r="X64" i="26"/>
  <c r="W64" i="26"/>
  <c r="V64" i="26"/>
  <c r="T64" i="26"/>
  <c r="R64" i="26"/>
  <c r="S64" i="26" s="1"/>
  <c r="P64" i="26"/>
  <c r="O64" i="26" s="1"/>
  <c r="X63" i="26"/>
  <c r="W63" i="26"/>
  <c r="V63" i="26"/>
  <c r="T63" i="26"/>
  <c r="R63" i="26"/>
  <c r="S63" i="26" s="1"/>
  <c r="P63" i="26"/>
  <c r="O63" i="26" s="1"/>
  <c r="X62" i="26"/>
  <c r="W62" i="26"/>
  <c r="V62" i="26"/>
  <c r="T62" i="26"/>
  <c r="R62" i="26"/>
  <c r="S62" i="26" s="1"/>
  <c r="P62" i="26"/>
  <c r="O62" i="26" s="1"/>
  <c r="X61" i="26"/>
  <c r="W61" i="26"/>
  <c r="V61" i="26"/>
  <c r="T61" i="26"/>
  <c r="R61" i="26"/>
  <c r="S61" i="26" s="1"/>
  <c r="P61" i="26"/>
  <c r="O61" i="26" s="1"/>
  <c r="X60" i="26"/>
  <c r="W60" i="26"/>
  <c r="V60" i="26"/>
  <c r="T60" i="26"/>
  <c r="R60" i="26"/>
  <c r="S60" i="26" s="1"/>
  <c r="O60" i="26"/>
  <c r="X59" i="26"/>
  <c r="W59" i="26"/>
  <c r="V59" i="26"/>
  <c r="T59" i="26"/>
  <c r="R59" i="26"/>
  <c r="S59" i="26" s="1"/>
  <c r="P59" i="26"/>
  <c r="O59" i="26" s="1"/>
  <c r="W58" i="26"/>
  <c r="R58" i="26"/>
  <c r="S58" i="26" s="1"/>
  <c r="O58" i="26"/>
  <c r="C58" i="26"/>
  <c r="C74" i="26" s="1"/>
  <c r="X57" i="26"/>
  <c r="W57" i="26"/>
  <c r="V57" i="26"/>
  <c r="T57" i="26"/>
  <c r="R57" i="26"/>
  <c r="S57" i="26" s="1"/>
  <c r="P57" i="26"/>
  <c r="O57" i="26" s="1"/>
  <c r="X56" i="26"/>
  <c r="W56" i="26"/>
  <c r="V56" i="26"/>
  <c r="T56" i="26"/>
  <c r="R56" i="26"/>
  <c r="S56" i="26" s="1"/>
  <c r="P56" i="26"/>
  <c r="O56" i="26" s="1"/>
  <c r="X55" i="26"/>
  <c r="W55" i="26"/>
  <c r="V55" i="26"/>
  <c r="T55" i="26"/>
  <c r="R55" i="26"/>
  <c r="S55" i="26" s="1"/>
  <c r="P55" i="26"/>
  <c r="O55" i="26" s="1"/>
  <c r="X54" i="26"/>
  <c r="W54" i="26"/>
  <c r="V54" i="26"/>
  <c r="T54" i="26"/>
  <c r="R54" i="26"/>
  <c r="S54" i="26" s="1"/>
  <c r="P54" i="26"/>
  <c r="O54" i="26" s="1"/>
  <c r="X53" i="26"/>
  <c r="W53" i="26"/>
  <c r="V53" i="26"/>
  <c r="T53" i="26"/>
  <c r="R53" i="26"/>
  <c r="S53" i="26" s="1"/>
  <c r="P53" i="26"/>
  <c r="O53" i="26" s="1"/>
  <c r="X52" i="26"/>
  <c r="W52" i="26"/>
  <c r="V52" i="26"/>
  <c r="T52" i="26"/>
  <c r="R52" i="26"/>
  <c r="S52" i="26" s="1"/>
  <c r="O52" i="26"/>
  <c r="X51" i="26"/>
  <c r="W51" i="26"/>
  <c r="V51" i="26"/>
  <c r="T51" i="26"/>
  <c r="R51" i="26"/>
  <c r="S51" i="26" s="1"/>
  <c r="P51" i="26"/>
  <c r="O51" i="26" s="1"/>
  <c r="X50" i="26"/>
  <c r="V50" i="26"/>
  <c r="T50" i="26"/>
  <c r="R50" i="26"/>
  <c r="S50" i="26" s="1"/>
  <c r="P50" i="26"/>
  <c r="O50" i="26" s="1"/>
  <c r="X49" i="26"/>
  <c r="W49" i="26"/>
  <c r="V49" i="26"/>
  <c r="T49" i="26"/>
  <c r="R49" i="26"/>
  <c r="S49" i="26" s="1"/>
  <c r="P49" i="26"/>
  <c r="O49" i="26" s="1"/>
  <c r="X48" i="26"/>
  <c r="W48" i="26"/>
  <c r="V48" i="26"/>
  <c r="T48" i="26"/>
  <c r="R48" i="26"/>
  <c r="S48" i="26" s="1"/>
  <c r="P48" i="26"/>
  <c r="O48" i="26" s="1"/>
  <c r="X47" i="26"/>
  <c r="W47" i="26"/>
  <c r="V47" i="26"/>
  <c r="T47" i="26"/>
  <c r="R47" i="26"/>
  <c r="S47" i="26" s="1"/>
  <c r="P47" i="26"/>
  <c r="O47" i="26" s="1"/>
  <c r="X46" i="26"/>
  <c r="W46" i="26"/>
  <c r="V46" i="26"/>
  <c r="T46" i="26"/>
  <c r="R46" i="26"/>
  <c r="S46" i="26" s="1"/>
  <c r="P46" i="26"/>
  <c r="O46" i="26" s="1"/>
  <c r="X45" i="26"/>
  <c r="W45" i="26"/>
  <c r="V45" i="26"/>
  <c r="T45" i="26"/>
  <c r="R45" i="26"/>
  <c r="S45" i="26" s="1"/>
  <c r="P45" i="26"/>
  <c r="O45" i="26" s="1"/>
  <c r="X44" i="26"/>
  <c r="W44" i="26"/>
  <c r="V44" i="26"/>
  <c r="T44" i="26"/>
  <c r="R44" i="26"/>
  <c r="S44" i="26" s="1"/>
  <c r="P44" i="26"/>
  <c r="O44" i="26" s="1"/>
  <c r="X43" i="26"/>
  <c r="W43" i="26"/>
  <c r="V43" i="26"/>
  <c r="T43" i="26"/>
  <c r="R43" i="26"/>
  <c r="S43" i="26" s="1"/>
  <c r="O43" i="26"/>
  <c r="X42" i="26"/>
  <c r="W42" i="26"/>
  <c r="V42" i="26"/>
  <c r="T42" i="26"/>
  <c r="R42" i="26"/>
  <c r="S42" i="26" s="1"/>
  <c r="P42" i="26"/>
  <c r="O42" i="26" s="1"/>
  <c r="X41" i="26"/>
  <c r="W41" i="26"/>
  <c r="V41" i="26"/>
  <c r="T41" i="26"/>
  <c r="R41" i="26"/>
  <c r="S41" i="26" s="1"/>
  <c r="P41" i="26"/>
  <c r="O41" i="26" s="1"/>
  <c r="X40" i="26"/>
  <c r="W40" i="26"/>
  <c r="V40" i="26"/>
  <c r="T40" i="26"/>
  <c r="R40" i="26"/>
  <c r="S40" i="26" s="1"/>
  <c r="P40" i="26"/>
  <c r="O40" i="26" s="1"/>
  <c r="X39" i="26"/>
  <c r="W39" i="26"/>
  <c r="V39" i="26"/>
  <c r="T39" i="26"/>
  <c r="R39" i="26"/>
  <c r="S39" i="26" s="1"/>
  <c r="P39" i="26"/>
  <c r="O39" i="26" s="1"/>
  <c r="X38" i="26"/>
  <c r="W38" i="26"/>
  <c r="V38" i="26"/>
  <c r="T38" i="26"/>
  <c r="R38" i="26"/>
  <c r="S38" i="26" s="1"/>
  <c r="P38" i="26"/>
  <c r="O38" i="26" s="1"/>
  <c r="X37" i="26"/>
  <c r="W37" i="26"/>
  <c r="V37" i="26"/>
  <c r="T37" i="26"/>
  <c r="R37" i="26"/>
  <c r="S37" i="26" s="1"/>
  <c r="P37" i="26"/>
  <c r="O37" i="26" s="1"/>
  <c r="X36" i="26"/>
  <c r="W36" i="26"/>
  <c r="V36" i="26"/>
  <c r="T36" i="26"/>
  <c r="R36" i="26"/>
  <c r="S36" i="26" s="1"/>
  <c r="P36" i="26"/>
  <c r="O36" i="26" s="1"/>
  <c r="X35" i="26"/>
  <c r="W35" i="26"/>
  <c r="V35" i="26"/>
  <c r="T35" i="26"/>
  <c r="R35" i="26"/>
  <c r="S35" i="26" s="1"/>
  <c r="P35" i="26"/>
  <c r="O35" i="26" s="1"/>
  <c r="X34" i="26"/>
  <c r="W34" i="26"/>
  <c r="V34" i="26"/>
  <c r="T34" i="26"/>
  <c r="R34" i="26"/>
  <c r="S34" i="26" s="1"/>
  <c r="P34" i="26"/>
  <c r="O34" i="26" s="1"/>
  <c r="X33" i="26"/>
  <c r="W33" i="26"/>
  <c r="V33" i="26"/>
  <c r="T33" i="26"/>
  <c r="R33" i="26"/>
  <c r="S33" i="26" s="1"/>
  <c r="P33" i="26"/>
  <c r="O33" i="26" s="1"/>
  <c r="X32" i="26"/>
  <c r="W32" i="26"/>
  <c r="V32" i="26"/>
  <c r="T32" i="26"/>
  <c r="R32" i="26"/>
  <c r="S32" i="26" s="1"/>
  <c r="P32" i="26"/>
  <c r="O32" i="26" s="1"/>
  <c r="X31" i="26"/>
  <c r="W31" i="26"/>
  <c r="V31" i="26"/>
  <c r="T31" i="26"/>
  <c r="R31" i="26"/>
  <c r="S31" i="26" s="1"/>
  <c r="P31" i="26"/>
  <c r="O31" i="26" s="1"/>
  <c r="X30" i="26"/>
  <c r="W30" i="26"/>
  <c r="V30" i="26"/>
  <c r="T30" i="26"/>
  <c r="R30" i="26"/>
  <c r="S30" i="26" s="1"/>
  <c r="P30" i="26"/>
  <c r="O30" i="26" s="1"/>
  <c r="X29" i="26"/>
  <c r="W29" i="26"/>
  <c r="V29" i="26"/>
  <c r="T29" i="26"/>
  <c r="R29" i="26"/>
  <c r="S29" i="26" s="1"/>
  <c r="P29" i="26"/>
  <c r="O29" i="26" s="1"/>
  <c r="X28" i="26"/>
  <c r="W28" i="26"/>
  <c r="V28" i="26"/>
  <c r="T28" i="26"/>
  <c r="R28" i="26"/>
  <c r="S28" i="26" s="1"/>
  <c r="P28" i="26"/>
  <c r="O28" i="26" s="1"/>
  <c r="X27" i="26"/>
  <c r="W27" i="26"/>
  <c r="V27" i="26"/>
  <c r="T27" i="26"/>
  <c r="R27" i="26"/>
  <c r="S27" i="26" s="1"/>
  <c r="P27" i="26"/>
  <c r="O27" i="26" s="1"/>
  <c r="X26" i="26"/>
  <c r="W26" i="26"/>
  <c r="V26" i="26"/>
  <c r="T26" i="26"/>
  <c r="R26" i="26"/>
  <c r="S26" i="26" s="1"/>
  <c r="P26" i="26"/>
  <c r="O26" i="26" s="1"/>
  <c r="X25" i="26"/>
  <c r="W25" i="26"/>
  <c r="V25" i="26"/>
  <c r="T25" i="26"/>
  <c r="R25" i="26"/>
  <c r="S25" i="26" s="1"/>
  <c r="O25" i="26"/>
  <c r="X24" i="26"/>
  <c r="W24" i="26"/>
  <c r="V24" i="26"/>
  <c r="T24" i="26"/>
  <c r="R24" i="26"/>
  <c r="S24" i="26" s="1"/>
  <c r="P24" i="26"/>
  <c r="O24" i="26" s="1"/>
  <c r="X23" i="26"/>
  <c r="W23" i="26"/>
  <c r="V23" i="26"/>
  <c r="T23" i="26"/>
  <c r="R23" i="26"/>
  <c r="S23" i="26" s="1"/>
  <c r="P23" i="26"/>
  <c r="O23" i="26" s="1"/>
  <c r="X22" i="26"/>
  <c r="W22" i="26"/>
  <c r="V22" i="26"/>
  <c r="T22" i="26"/>
  <c r="R22" i="26"/>
  <c r="S22" i="26" s="1"/>
  <c r="P22" i="26"/>
  <c r="O22" i="26" s="1"/>
  <c r="X21" i="26"/>
  <c r="W21" i="26"/>
  <c r="V21" i="26"/>
  <c r="T21" i="26"/>
  <c r="R21" i="26"/>
  <c r="S21" i="26" s="1"/>
  <c r="P21" i="26"/>
  <c r="O21" i="26" s="1"/>
  <c r="X20" i="26"/>
  <c r="W20" i="26"/>
  <c r="V20" i="26"/>
  <c r="T20" i="26"/>
  <c r="R20" i="26"/>
  <c r="S20" i="26" s="1"/>
  <c r="P20" i="26"/>
  <c r="O20" i="26" s="1"/>
  <c r="X19" i="26"/>
  <c r="W19" i="26"/>
  <c r="V19" i="26"/>
  <c r="T19" i="26"/>
  <c r="R19" i="26"/>
  <c r="S19" i="26" s="1"/>
  <c r="P19" i="26"/>
  <c r="O19" i="26" s="1"/>
  <c r="X18" i="26"/>
  <c r="W18" i="26"/>
  <c r="V18" i="26"/>
  <c r="T18" i="26"/>
  <c r="R18" i="26"/>
  <c r="S18" i="26" s="1"/>
  <c r="P18" i="26"/>
  <c r="O18" i="26" s="1"/>
  <c r="X17" i="26"/>
  <c r="W17" i="26"/>
  <c r="V17" i="26"/>
  <c r="T17" i="26"/>
  <c r="R17" i="26"/>
  <c r="S17" i="26" s="1"/>
  <c r="P17" i="26"/>
  <c r="O17" i="26" s="1"/>
  <c r="X16" i="26"/>
  <c r="W16" i="26"/>
  <c r="V16" i="26"/>
  <c r="T16" i="26"/>
  <c r="R16" i="26"/>
  <c r="S16" i="26" s="1"/>
  <c r="P16" i="26"/>
  <c r="O16" i="26" s="1"/>
  <c r="X15" i="26"/>
  <c r="W15" i="26"/>
  <c r="V15" i="26"/>
  <c r="T15" i="26"/>
  <c r="R15" i="26"/>
  <c r="S15" i="26" s="1"/>
  <c r="P15" i="26"/>
  <c r="O15" i="26" s="1"/>
  <c r="X14" i="26"/>
  <c r="W14" i="26"/>
  <c r="V14" i="26"/>
  <c r="T14" i="26"/>
  <c r="R14" i="26"/>
  <c r="S14" i="26" s="1"/>
  <c r="P14" i="26"/>
  <c r="O14" i="26" s="1"/>
  <c r="X13" i="26"/>
  <c r="W13" i="26"/>
  <c r="V13" i="26"/>
  <c r="T13" i="26"/>
  <c r="R13" i="26"/>
  <c r="S13" i="26" s="1"/>
  <c r="P13" i="26"/>
  <c r="O13" i="26" s="1"/>
  <c r="X12" i="26"/>
  <c r="W12" i="26"/>
  <c r="V12" i="26"/>
  <c r="T12" i="26"/>
  <c r="R12" i="26"/>
  <c r="S12" i="26" s="1"/>
  <c r="O12" i="26"/>
  <c r="X11" i="26"/>
  <c r="W11" i="26"/>
  <c r="V11" i="26"/>
  <c r="T11" i="26"/>
  <c r="R11" i="26"/>
  <c r="S11" i="26" s="1"/>
  <c r="P11" i="26"/>
  <c r="O11" i="26" s="1"/>
  <c r="X10" i="26"/>
  <c r="W10" i="26"/>
  <c r="V10" i="26"/>
  <c r="T10" i="26"/>
  <c r="R10" i="26"/>
  <c r="S10" i="26" s="1"/>
  <c r="P10" i="26"/>
  <c r="O10" i="26" s="1"/>
  <c r="X9" i="26"/>
  <c r="W9" i="26"/>
  <c r="V9" i="26"/>
  <c r="T9" i="26"/>
  <c r="R9" i="26"/>
  <c r="S9" i="26" s="1"/>
  <c r="P9" i="26"/>
  <c r="O9" i="26" s="1"/>
  <c r="X8" i="26"/>
  <c r="W8" i="26"/>
  <c r="V8" i="26"/>
  <c r="T8" i="26"/>
  <c r="R8" i="26"/>
  <c r="S8" i="26" s="1"/>
  <c r="P8" i="26"/>
  <c r="O8" i="26" s="1"/>
  <c r="X7" i="26"/>
  <c r="W7" i="26"/>
  <c r="V7" i="26"/>
  <c r="T7" i="26"/>
  <c r="R7" i="26"/>
  <c r="S7" i="26" s="1"/>
  <c r="P7" i="26"/>
  <c r="O7" i="26" s="1"/>
  <c r="X6" i="26"/>
  <c r="W6" i="26"/>
  <c r="V6" i="26"/>
  <c r="T6" i="26"/>
  <c r="R6" i="26"/>
  <c r="S6" i="26" s="1"/>
  <c r="P6" i="26"/>
  <c r="O6" i="26" s="1"/>
  <c r="X5" i="26"/>
  <c r="W5" i="26"/>
  <c r="V5" i="26"/>
  <c r="T5" i="26"/>
  <c r="R5" i="26"/>
  <c r="S5" i="26" s="1"/>
  <c r="P5" i="26"/>
  <c r="O5" i="26" s="1"/>
  <c r="X4" i="26"/>
  <c r="W4" i="26"/>
  <c r="V4" i="26"/>
  <c r="T4" i="26"/>
  <c r="R4" i="26"/>
  <c r="S4" i="26" s="1"/>
  <c r="P4" i="26"/>
  <c r="O4" i="26" s="1"/>
  <c r="X3" i="26"/>
  <c r="W3" i="26"/>
  <c r="V3" i="26"/>
  <c r="T3" i="26"/>
  <c r="R3" i="26"/>
  <c r="S3" i="26" s="1"/>
  <c r="P3" i="26"/>
  <c r="G8" i="25"/>
  <c r="I8" i="25" s="1"/>
  <c r="M8" i="25" s="1"/>
  <c r="K7" i="25"/>
  <c r="K8" i="25" s="1"/>
  <c r="J7" i="25"/>
  <c r="J8" i="25" s="1"/>
  <c r="F7" i="25"/>
  <c r="G7" i="25" s="1"/>
  <c r="I7" i="25" s="1"/>
  <c r="M7" i="25" s="1"/>
  <c r="N74" i="19"/>
  <c r="N73" i="19"/>
  <c r="F73" i="19"/>
  <c r="E73" i="19"/>
  <c r="E75" i="19" s="1"/>
  <c r="D73" i="19"/>
  <c r="N72" i="19"/>
  <c r="J72" i="19"/>
  <c r="G72" i="19"/>
  <c r="H72" i="19" s="1"/>
  <c r="I72" i="19" s="1"/>
  <c r="N71" i="19"/>
  <c r="J71" i="19"/>
  <c r="G71" i="19"/>
  <c r="H71" i="19" s="1"/>
  <c r="I71" i="19" s="1"/>
  <c r="N70" i="19"/>
  <c r="J70" i="19"/>
  <c r="G70" i="19"/>
  <c r="H70" i="19" s="1"/>
  <c r="I70" i="19" s="1"/>
  <c r="N69" i="19"/>
  <c r="J69" i="19"/>
  <c r="G69" i="19"/>
  <c r="H69" i="19" s="1"/>
  <c r="I69" i="19" s="1"/>
  <c r="N68" i="19"/>
  <c r="J68" i="19"/>
  <c r="G68" i="19"/>
  <c r="H68" i="19" s="1"/>
  <c r="I68" i="19" s="1"/>
  <c r="N67" i="19"/>
  <c r="J67" i="19"/>
  <c r="G67" i="19"/>
  <c r="H67" i="19" s="1"/>
  <c r="I67" i="19" s="1"/>
  <c r="N66" i="19"/>
  <c r="J66" i="19"/>
  <c r="G66" i="19"/>
  <c r="H66" i="19" s="1"/>
  <c r="I66" i="19" s="1"/>
  <c r="N65" i="19"/>
  <c r="J65" i="19"/>
  <c r="G65" i="19"/>
  <c r="H65" i="19" s="1"/>
  <c r="I65" i="19" s="1"/>
  <c r="N64" i="19"/>
  <c r="J64" i="19"/>
  <c r="G64" i="19"/>
  <c r="H64" i="19" s="1"/>
  <c r="I64" i="19" s="1"/>
  <c r="N63" i="19"/>
  <c r="J63" i="19"/>
  <c r="G63" i="19"/>
  <c r="H63" i="19" s="1"/>
  <c r="I63" i="19" s="1"/>
  <c r="N62" i="19"/>
  <c r="J62" i="19"/>
  <c r="H62" i="19"/>
  <c r="I62" i="19" s="1"/>
  <c r="N61" i="19"/>
  <c r="J61" i="19"/>
  <c r="G61" i="19"/>
  <c r="H61" i="19" s="1"/>
  <c r="I61" i="19" s="1"/>
  <c r="O60" i="19"/>
  <c r="N60" i="19"/>
  <c r="J60" i="19"/>
  <c r="G60" i="19"/>
  <c r="O59" i="19"/>
  <c r="N59" i="19"/>
  <c r="J59" i="19"/>
  <c r="G59" i="19"/>
  <c r="O58" i="19"/>
  <c r="N58" i="19"/>
  <c r="P58" i="19" s="1"/>
  <c r="H58" i="19"/>
  <c r="I58" i="19" s="1"/>
  <c r="C58" i="19"/>
  <c r="C73" i="19" s="1"/>
  <c r="C78" i="19" s="1"/>
  <c r="O57" i="19"/>
  <c r="N57" i="19"/>
  <c r="J57" i="19"/>
  <c r="G57" i="19"/>
  <c r="H57" i="19" s="1"/>
  <c r="I57" i="19" s="1"/>
  <c r="O56" i="19"/>
  <c r="N56" i="19"/>
  <c r="J56" i="19"/>
  <c r="G56" i="19"/>
  <c r="H56" i="19" s="1"/>
  <c r="I56" i="19" s="1"/>
  <c r="O55" i="19"/>
  <c r="N55" i="19"/>
  <c r="J55" i="19"/>
  <c r="G55" i="19"/>
  <c r="O54" i="19"/>
  <c r="N54" i="19"/>
  <c r="J54" i="19"/>
  <c r="G54" i="19"/>
  <c r="H54" i="19" s="1"/>
  <c r="I54" i="19" s="1"/>
  <c r="O53" i="19"/>
  <c r="N53" i="19"/>
  <c r="J53" i="19"/>
  <c r="G53" i="19"/>
  <c r="H53" i="19" s="1"/>
  <c r="I53" i="19" s="1"/>
  <c r="O52" i="19"/>
  <c r="N52" i="19"/>
  <c r="P52" i="19" s="1"/>
  <c r="J52" i="19"/>
  <c r="H52" i="19"/>
  <c r="I52" i="19" s="1"/>
  <c r="O51" i="19"/>
  <c r="N51" i="19"/>
  <c r="J51" i="19"/>
  <c r="G51" i="19"/>
  <c r="O50" i="19"/>
  <c r="N50" i="19"/>
  <c r="K50" i="19"/>
  <c r="G50" i="19"/>
  <c r="H50" i="19" s="1"/>
  <c r="I50" i="19" s="1"/>
  <c r="O49" i="19"/>
  <c r="N49" i="19"/>
  <c r="J49" i="19"/>
  <c r="G49" i="19"/>
  <c r="O48" i="19"/>
  <c r="N48" i="19"/>
  <c r="J48" i="19"/>
  <c r="G48" i="19"/>
  <c r="O47" i="19"/>
  <c r="N47" i="19"/>
  <c r="J47" i="19"/>
  <c r="G47" i="19"/>
  <c r="O46" i="19"/>
  <c r="N46" i="19"/>
  <c r="J46" i="19"/>
  <c r="G46" i="19"/>
  <c r="H46" i="19" s="1"/>
  <c r="I46" i="19" s="1"/>
  <c r="O45" i="19"/>
  <c r="N45" i="19"/>
  <c r="J45" i="19"/>
  <c r="G45" i="19"/>
  <c r="H45" i="19" s="1"/>
  <c r="I45" i="19" s="1"/>
  <c r="O44" i="19"/>
  <c r="N44" i="19"/>
  <c r="J44" i="19"/>
  <c r="G44" i="19"/>
  <c r="O43" i="19"/>
  <c r="N43" i="19"/>
  <c r="P43" i="19" s="1"/>
  <c r="J43" i="19"/>
  <c r="H43" i="19"/>
  <c r="I43" i="19" s="1"/>
  <c r="O42" i="19"/>
  <c r="N42" i="19"/>
  <c r="J42" i="19"/>
  <c r="G42" i="19"/>
  <c r="O41" i="19"/>
  <c r="N41" i="19"/>
  <c r="J41" i="19"/>
  <c r="G41" i="19"/>
  <c r="O40" i="19"/>
  <c r="N40" i="19"/>
  <c r="J40" i="19"/>
  <c r="G40" i="19"/>
  <c r="O39" i="19"/>
  <c r="N39" i="19"/>
  <c r="J39" i="19"/>
  <c r="G39" i="19"/>
  <c r="H39" i="19" s="1"/>
  <c r="I39" i="19" s="1"/>
  <c r="O38" i="19"/>
  <c r="N38" i="19"/>
  <c r="J38" i="19"/>
  <c r="G38" i="19"/>
  <c r="H38" i="19" s="1"/>
  <c r="I38" i="19" s="1"/>
  <c r="O37" i="19"/>
  <c r="N37" i="19"/>
  <c r="J37" i="19"/>
  <c r="G37" i="19"/>
  <c r="O36" i="19"/>
  <c r="N36" i="19"/>
  <c r="J36" i="19"/>
  <c r="G36" i="19"/>
  <c r="O35" i="19"/>
  <c r="N35" i="19"/>
  <c r="J35" i="19"/>
  <c r="G35" i="19"/>
  <c r="H35" i="19" s="1"/>
  <c r="I35" i="19" s="1"/>
  <c r="O34" i="19"/>
  <c r="N34" i="19"/>
  <c r="J34" i="19"/>
  <c r="G34" i="19"/>
  <c r="O33" i="19"/>
  <c r="N33" i="19"/>
  <c r="J33" i="19"/>
  <c r="G33" i="19"/>
  <c r="O32" i="19"/>
  <c r="N32" i="19"/>
  <c r="J32" i="19"/>
  <c r="G32" i="19"/>
  <c r="O31" i="19"/>
  <c r="N31" i="19"/>
  <c r="J31" i="19"/>
  <c r="G31" i="19"/>
  <c r="H31" i="19" s="1"/>
  <c r="I31" i="19" s="1"/>
  <c r="O30" i="19"/>
  <c r="N30" i="19"/>
  <c r="J30" i="19"/>
  <c r="G30" i="19"/>
  <c r="O29" i="19"/>
  <c r="N29" i="19"/>
  <c r="J29" i="19"/>
  <c r="G29" i="19"/>
  <c r="O28" i="19"/>
  <c r="N28" i="19"/>
  <c r="J28" i="19"/>
  <c r="G28" i="19"/>
  <c r="O27" i="19"/>
  <c r="N27" i="19"/>
  <c r="J27" i="19"/>
  <c r="G27" i="19"/>
  <c r="H27" i="19" s="1"/>
  <c r="I27" i="19" s="1"/>
  <c r="O26" i="19"/>
  <c r="N26" i="19"/>
  <c r="J26" i="19"/>
  <c r="G26" i="19"/>
  <c r="H26" i="19" s="1"/>
  <c r="I26" i="19" s="1"/>
  <c r="O25" i="19"/>
  <c r="N25" i="19"/>
  <c r="P25" i="19" s="1"/>
  <c r="J25" i="19"/>
  <c r="H25" i="19"/>
  <c r="I25" i="19" s="1"/>
  <c r="O24" i="19"/>
  <c r="N24" i="19"/>
  <c r="J24" i="19"/>
  <c r="G24" i="19"/>
  <c r="H24" i="19" s="1"/>
  <c r="I24" i="19" s="1"/>
  <c r="O23" i="19"/>
  <c r="N23" i="19"/>
  <c r="J23" i="19"/>
  <c r="G23" i="19"/>
  <c r="O22" i="19"/>
  <c r="N22" i="19"/>
  <c r="J22" i="19"/>
  <c r="G22" i="19"/>
  <c r="H22" i="19" s="1"/>
  <c r="I22" i="19" s="1"/>
  <c r="O21" i="19"/>
  <c r="N21" i="19"/>
  <c r="J21" i="19"/>
  <c r="G21" i="19"/>
  <c r="O20" i="19"/>
  <c r="N20" i="19"/>
  <c r="J20" i="19"/>
  <c r="G20" i="19"/>
  <c r="H20" i="19" s="1"/>
  <c r="I20" i="19" s="1"/>
  <c r="O19" i="19"/>
  <c r="N19" i="19"/>
  <c r="J19" i="19"/>
  <c r="G19" i="19"/>
  <c r="O18" i="19"/>
  <c r="N18" i="19"/>
  <c r="J18" i="19"/>
  <c r="G18" i="19"/>
  <c r="H18" i="19" s="1"/>
  <c r="I18" i="19" s="1"/>
  <c r="O17" i="19"/>
  <c r="N17" i="19"/>
  <c r="J17" i="19"/>
  <c r="G17" i="19"/>
  <c r="O16" i="19"/>
  <c r="N16" i="19"/>
  <c r="J16" i="19"/>
  <c r="G16" i="19"/>
  <c r="H16" i="19" s="1"/>
  <c r="I16" i="19" s="1"/>
  <c r="O15" i="19"/>
  <c r="N15" i="19"/>
  <c r="J15" i="19"/>
  <c r="G15" i="19"/>
  <c r="H15" i="19" s="1"/>
  <c r="I15" i="19" s="1"/>
  <c r="O14" i="19"/>
  <c r="N14" i="19"/>
  <c r="J14" i="19"/>
  <c r="G14" i="19"/>
  <c r="H14" i="19" s="1"/>
  <c r="I14" i="19" s="1"/>
  <c r="O13" i="19"/>
  <c r="N13" i="19"/>
  <c r="J13" i="19"/>
  <c r="G13" i="19"/>
  <c r="H13" i="19" s="1"/>
  <c r="I13" i="19" s="1"/>
  <c r="O12" i="19"/>
  <c r="N12" i="19"/>
  <c r="P12" i="19" s="1"/>
  <c r="K12" i="19"/>
  <c r="J12" i="19"/>
  <c r="H12" i="19"/>
  <c r="I12" i="19" s="1"/>
  <c r="O11" i="19"/>
  <c r="N11" i="19"/>
  <c r="J11" i="19"/>
  <c r="G11" i="19"/>
  <c r="O10" i="19"/>
  <c r="N10" i="19"/>
  <c r="K10" i="19"/>
  <c r="J10" i="19"/>
  <c r="G10" i="19"/>
  <c r="K9" i="19" s="1"/>
  <c r="O9" i="19"/>
  <c r="N9" i="19"/>
  <c r="J9" i="19"/>
  <c r="G9" i="19"/>
  <c r="O8" i="19"/>
  <c r="N8" i="19"/>
  <c r="J8" i="19"/>
  <c r="G8" i="19"/>
  <c r="O7" i="19"/>
  <c r="N7" i="19"/>
  <c r="J7" i="19"/>
  <c r="G7" i="19"/>
  <c r="O6" i="19"/>
  <c r="N6" i="19"/>
  <c r="J6" i="19"/>
  <c r="G6" i="19"/>
  <c r="H6" i="19" s="1"/>
  <c r="I6" i="19" s="1"/>
  <c r="O5" i="19"/>
  <c r="N5" i="19"/>
  <c r="J5" i="19"/>
  <c r="G5" i="19"/>
  <c r="H5" i="19" s="1"/>
  <c r="I5" i="19" s="1"/>
  <c r="O4" i="19"/>
  <c r="N4" i="19"/>
  <c r="J4" i="19"/>
  <c r="G4" i="19"/>
  <c r="O3" i="19"/>
  <c r="N3" i="19"/>
  <c r="J3" i="19"/>
  <c r="G3" i="19"/>
  <c r="H3" i="19" s="1"/>
  <c r="I3" i="19" s="1"/>
  <c r="P6" i="16"/>
  <c r="N6" i="16"/>
  <c r="K6" i="16"/>
  <c r="H6" i="16"/>
  <c r="F6" i="16"/>
  <c r="C6" i="16"/>
  <c r="E6" i="16" s="1"/>
  <c r="M5" i="16"/>
  <c r="E5" i="16"/>
  <c r="L2" i="16"/>
  <c r="O5" i="16" s="1"/>
  <c r="D2" i="16"/>
  <c r="H5" i="16" s="1"/>
  <c r="BF76" i="14"/>
  <c r="AV76" i="14"/>
  <c r="AU76" i="14"/>
  <c r="AI76" i="14"/>
  <c r="AH76" i="14"/>
  <c r="AG76" i="14"/>
  <c r="AB76" i="14"/>
  <c r="AA76" i="14"/>
  <c r="N76" i="14"/>
  <c r="R58" i="14" s="1"/>
  <c r="S58" i="14" s="1"/>
  <c r="H76" i="14"/>
  <c r="G76" i="14"/>
  <c r="E76" i="14"/>
  <c r="D76" i="14"/>
  <c r="C76" i="14"/>
  <c r="AN75" i="14"/>
  <c r="AQ75" i="14" s="1"/>
  <c r="AF75" i="14"/>
  <c r="AC75" i="14"/>
  <c r="Y75" i="14"/>
  <c r="K75" i="14"/>
  <c r="M75" i="14" s="1"/>
  <c r="J75" i="14"/>
  <c r="I75" i="14"/>
  <c r="F75" i="14"/>
  <c r="AN74" i="14"/>
  <c r="AQ74" i="14" s="1"/>
  <c r="AL74" i="14"/>
  <c r="AC74" i="14"/>
  <c r="Y74" i="14"/>
  <c r="K74" i="14"/>
  <c r="J74" i="14"/>
  <c r="I74" i="14"/>
  <c r="F74" i="14"/>
  <c r="AN73" i="14"/>
  <c r="AQ73" i="14" s="1"/>
  <c r="AL73" i="14"/>
  <c r="AC73" i="14"/>
  <c r="Y73" i="14"/>
  <c r="K73" i="14"/>
  <c r="L73" i="14" s="1"/>
  <c r="J73" i="14"/>
  <c r="I73" i="14"/>
  <c r="F73" i="14"/>
  <c r="AN72" i="14"/>
  <c r="AQ72" i="14" s="1"/>
  <c r="AL72" i="14"/>
  <c r="AC72" i="14"/>
  <c r="Y72" i="14"/>
  <c r="K72" i="14"/>
  <c r="J72" i="14"/>
  <c r="I72" i="14"/>
  <c r="F72" i="14"/>
  <c r="AN71" i="14"/>
  <c r="AQ71" i="14" s="1"/>
  <c r="AF71" i="14"/>
  <c r="AL71" i="14" s="1"/>
  <c r="AC71" i="14"/>
  <c r="Y71" i="14"/>
  <c r="K71" i="14"/>
  <c r="M71" i="14" s="1"/>
  <c r="J71" i="14"/>
  <c r="I71" i="14"/>
  <c r="F71" i="14"/>
  <c r="AN70" i="14"/>
  <c r="AQ70" i="14" s="1"/>
  <c r="AL70" i="14"/>
  <c r="AC70" i="14"/>
  <c r="Y70" i="14"/>
  <c r="K70" i="14"/>
  <c r="M70" i="14" s="1"/>
  <c r="J70" i="14"/>
  <c r="I70" i="14"/>
  <c r="F70" i="14"/>
  <c r="AN69" i="14"/>
  <c r="AQ69" i="14" s="1"/>
  <c r="AL69" i="14"/>
  <c r="AC69" i="14"/>
  <c r="Y69" i="14"/>
  <c r="M69" i="14"/>
  <c r="L69" i="14"/>
  <c r="J69" i="14"/>
  <c r="I69" i="14"/>
  <c r="F69" i="14"/>
  <c r="AN68" i="14"/>
  <c r="AQ68" i="14" s="1"/>
  <c r="AL68" i="14"/>
  <c r="AC68" i="14"/>
  <c r="Y68" i="14"/>
  <c r="K68" i="14"/>
  <c r="M68" i="14" s="1"/>
  <c r="J68" i="14"/>
  <c r="I68" i="14"/>
  <c r="F68" i="14"/>
  <c r="AN67" i="14"/>
  <c r="AQ67" i="14" s="1"/>
  <c r="AF67" i="14"/>
  <c r="AL67" i="14" s="1"/>
  <c r="Y67" i="14"/>
  <c r="K67" i="14"/>
  <c r="M67" i="14" s="1"/>
  <c r="J67" i="14"/>
  <c r="I67" i="14"/>
  <c r="F67" i="14"/>
  <c r="AN66" i="14"/>
  <c r="AQ66" i="14" s="1"/>
  <c r="AF66" i="14"/>
  <c r="AL66" i="14" s="1"/>
  <c r="AC66" i="14"/>
  <c r="Y66" i="14"/>
  <c r="K66" i="14"/>
  <c r="M66" i="14" s="1"/>
  <c r="J66" i="14"/>
  <c r="I66" i="14"/>
  <c r="F66" i="14"/>
  <c r="AN65" i="14"/>
  <c r="AQ65" i="14" s="1"/>
  <c r="AL65" i="14"/>
  <c r="AC65" i="14"/>
  <c r="Y65" i="14"/>
  <c r="K65" i="14"/>
  <c r="L65" i="14" s="1"/>
  <c r="J65" i="14"/>
  <c r="I65" i="14"/>
  <c r="F65" i="14"/>
  <c r="AN64" i="14"/>
  <c r="AQ64" i="14" s="1"/>
  <c r="AL64" i="14"/>
  <c r="AC64" i="14"/>
  <c r="Y64" i="14"/>
  <c r="K64" i="14"/>
  <c r="J64" i="14"/>
  <c r="I64" i="14"/>
  <c r="F64" i="14"/>
  <c r="BC63" i="14"/>
  <c r="AN63" i="14"/>
  <c r="AQ63" i="14" s="1"/>
  <c r="AL63" i="14"/>
  <c r="AC63" i="14"/>
  <c r="Y63" i="14"/>
  <c r="K63" i="14"/>
  <c r="M63" i="14" s="1"/>
  <c r="J63" i="14"/>
  <c r="I63" i="14"/>
  <c r="F63" i="14"/>
  <c r="AN62" i="14"/>
  <c r="AQ62" i="14" s="1"/>
  <c r="AF62" i="14"/>
  <c r="AL62" i="14" s="1"/>
  <c r="AC62" i="14"/>
  <c r="Y62" i="14"/>
  <c r="K62" i="14"/>
  <c r="M62" i="14" s="1"/>
  <c r="J62" i="14"/>
  <c r="I62" i="14"/>
  <c r="F62" i="14"/>
  <c r="AN61" i="14"/>
  <c r="AQ61" i="14" s="1"/>
  <c r="AL61" i="14"/>
  <c r="M61" i="14"/>
  <c r="L61" i="14"/>
  <c r="I61" i="14"/>
  <c r="F61" i="14"/>
  <c r="AN60" i="14"/>
  <c r="AQ60" i="14" s="1"/>
  <c r="AL60" i="14"/>
  <c r="AC60" i="14"/>
  <c r="Y60" i="14"/>
  <c r="K60" i="14"/>
  <c r="L60" i="14" s="1"/>
  <c r="J60" i="14"/>
  <c r="I60" i="14"/>
  <c r="F60" i="14"/>
  <c r="AN59" i="14"/>
  <c r="AQ59" i="14" s="1"/>
  <c r="AL59" i="14"/>
  <c r="AC59" i="14"/>
  <c r="Y59" i="14"/>
  <c r="M59" i="14"/>
  <c r="L59" i="14"/>
  <c r="J59" i="14"/>
  <c r="I59" i="14"/>
  <c r="F59" i="14"/>
  <c r="BC58" i="14"/>
  <c r="AN58" i="14"/>
  <c r="AQ58" i="14" s="1"/>
  <c r="AL58" i="14"/>
  <c r="AC58" i="14"/>
  <c r="Y58" i="14"/>
  <c r="K58" i="14"/>
  <c r="M58" i="14" s="1"/>
  <c r="J58" i="14"/>
  <c r="I58" i="14"/>
  <c r="F58" i="14"/>
  <c r="AN57" i="14"/>
  <c r="AQ57" i="14" s="1"/>
  <c r="AL57" i="14"/>
  <c r="AC57" i="14"/>
  <c r="Y57" i="14"/>
  <c r="K57" i="14"/>
  <c r="L57" i="14" s="1"/>
  <c r="J57" i="14"/>
  <c r="I57" i="14"/>
  <c r="F57" i="14"/>
  <c r="AN56" i="14"/>
  <c r="AQ56" i="14" s="1"/>
  <c r="AL56" i="14"/>
  <c r="AC56" i="14"/>
  <c r="Y56" i="14"/>
  <c r="K56" i="14"/>
  <c r="M56" i="14" s="1"/>
  <c r="J56" i="14"/>
  <c r="I56" i="14"/>
  <c r="F56" i="14"/>
  <c r="BC55" i="14"/>
  <c r="AN55" i="14"/>
  <c r="AQ55" i="14" s="1"/>
  <c r="AM55" i="14"/>
  <c r="AL55" i="14"/>
  <c r="AC55" i="14"/>
  <c r="Y55" i="14"/>
  <c r="K55" i="14"/>
  <c r="M55" i="14" s="1"/>
  <c r="J55" i="14"/>
  <c r="I55" i="14"/>
  <c r="F55" i="14"/>
  <c r="AN54" i="14"/>
  <c r="AQ54" i="14" s="1"/>
  <c r="AL54" i="14"/>
  <c r="AC54" i="14"/>
  <c r="Y54" i="14"/>
  <c r="K54" i="14"/>
  <c r="L54" i="14" s="1"/>
  <c r="J54" i="14"/>
  <c r="I54" i="14"/>
  <c r="F54" i="14"/>
  <c r="AN53" i="14"/>
  <c r="AQ53" i="14" s="1"/>
  <c r="AF53" i="14"/>
  <c r="AL53" i="14" s="1"/>
  <c r="AC53" i="14"/>
  <c r="Y53" i="14"/>
  <c r="K53" i="14"/>
  <c r="L53" i="14" s="1"/>
  <c r="J53" i="14"/>
  <c r="I53" i="14"/>
  <c r="F53" i="14"/>
  <c r="AN52" i="14"/>
  <c r="AQ52" i="14" s="1"/>
  <c r="AL52" i="14"/>
  <c r="AC52" i="14"/>
  <c r="Y52" i="14"/>
  <c r="K52" i="14"/>
  <c r="M52" i="14" s="1"/>
  <c r="J52" i="14"/>
  <c r="I52" i="14"/>
  <c r="F52" i="14"/>
  <c r="AN51" i="14"/>
  <c r="AQ51" i="14" s="1"/>
  <c r="AL51" i="14"/>
  <c r="AC51" i="14"/>
  <c r="Y51" i="14"/>
  <c r="K51" i="14"/>
  <c r="L51" i="14" s="1"/>
  <c r="J51" i="14"/>
  <c r="I51" i="14"/>
  <c r="F51" i="14"/>
  <c r="AN50" i="14"/>
  <c r="AQ50" i="14" s="1"/>
  <c r="AL50" i="14"/>
  <c r="AC50" i="14"/>
  <c r="Y50" i="14"/>
  <c r="K50" i="14"/>
  <c r="M50" i="14" s="1"/>
  <c r="J50" i="14"/>
  <c r="I50" i="14"/>
  <c r="F50" i="14"/>
  <c r="AN49" i="14"/>
  <c r="AQ49" i="14" s="1"/>
  <c r="AL49" i="14"/>
  <c r="AC49" i="14"/>
  <c r="Y49" i="14"/>
  <c r="K49" i="14"/>
  <c r="J49" i="14"/>
  <c r="I49" i="14"/>
  <c r="F49" i="14"/>
  <c r="AN48" i="14"/>
  <c r="AQ48" i="14" s="1"/>
  <c r="AL48" i="14"/>
  <c r="AC48" i="14"/>
  <c r="Y48" i="14"/>
  <c r="K48" i="14"/>
  <c r="L48" i="14" s="1"/>
  <c r="J48" i="14"/>
  <c r="I48" i="14"/>
  <c r="F48" i="14"/>
  <c r="AN47" i="14"/>
  <c r="AQ47" i="14" s="1"/>
  <c r="AL47" i="14"/>
  <c r="AC47" i="14"/>
  <c r="Y47" i="14"/>
  <c r="K47" i="14"/>
  <c r="L47" i="14" s="1"/>
  <c r="J47" i="14"/>
  <c r="I47" i="14"/>
  <c r="F47" i="14"/>
  <c r="AN46" i="14"/>
  <c r="AQ46" i="14" s="1"/>
  <c r="AL46" i="14"/>
  <c r="AC46" i="14"/>
  <c r="Y46" i="14"/>
  <c r="K46" i="14"/>
  <c r="M46" i="14" s="1"/>
  <c r="J46" i="14"/>
  <c r="I46" i="14"/>
  <c r="F46" i="14"/>
  <c r="BC45" i="14"/>
  <c r="AN45" i="14"/>
  <c r="AQ45" i="14" s="1"/>
  <c r="AL45" i="14"/>
  <c r="AC45" i="14"/>
  <c r="Y45" i="14"/>
  <c r="K45" i="14"/>
  <c r="L45" i="14" s="1"/>
  <c r="J45" i="14"/>
  <c r="I45" i="14"/>
  <c r="F45" i="14"/>
  <c r="AN44" i="14"/>
  <c r="AQ44" i="14" s="1"/>
  <c r="AF44" i="14"/>
  <c r="AL44" i="14" s="1"/>
  <c r="AC44" i="14"/>
  <c r="Y44" i="14"/>
  <c r="K44" i="14"/>
  <c r="M44" i="14" s="1"/>
  <c r="J44" i="14"/>
  <c r="I44" i="14"/>
  <c r="F44" i="14"/>
  <c r="AN43" i="14"/>
  <c r="AQ43" i="14" s="1"/>
  <c r="AL43" i="14"/>
  <c r="AC43" i="14"/>
  <c r="Y43" i="14"/>
  <c r="K43" i="14"/>
  <c r="L43" i="14" s="1"/>
  <c r="J43" i="14"/>
  <c r="I43" i="14"/>
  <c r="F43" i="14"/>
  <c r="AN42" i="14"/>
  <c r="AQ42" i="14" s="1"/>
  <c r="AL42" i="14"/>
  <c r="AC42" i="14"/>
  <c r="Y42" i="14"/>
  <c r="K42" i="14"/>
  <c r="M42" i="14" s="1"/>
  <c r="J42" i="14"/>
  <c r="I42" i="14"/>
  <c r="F42" i="14"/>
  <c r="AN41" i="14"/>
  <c r="AQ41" i="14" s="1"/>
  <c r="AL41" i="14"/>
  <c r="AC41" i="14"/>
  <c r="Y41" i="14"/>
  <c r="K41" i="14"/>
  <c r="L41" i="14" s="1"/>
  <c r="J41" i="14"/>
  <c r="I41" i="14"/>
  <c r="F41" i="14"/>
  <c r="AN40" i="14"/>
  <c r="AQ40" i="14" s="1"/>
  <c r="AL40" i="14"/>
  <c r="AC40" i="14"/>
  <c r="Y40" i="14"/>
  <c r="K40" i="14"/>
  <c r="J40" i="14"/>
  <c r="I40" i="14"/>
  <c r="F40" i="14"/>
  <c r="AN39" i="14"/>
  <c r="AQ39" i="14" s="1"/>
  <c r="AF39" i="14"/>
  <c r="AL39" i="14" s="1"/>
  <c r="AC39" i="14"/>
  <c r="Y39" i="14"/>
  <c r="K39" i="14"/>
  <c r="M39" i="14" s="1"/>
  <c r="J39" i="14"/>
  <c r="I39" i="14"/>
  <c r="F39" i="14"/>
  <c r="AN38" i="14"/>
  <c r="AQ38" i="14" s="1"/>
  <c r="AL38" i="14"/>
  <c r="AC38" i="14"/>
  <c r="Y38" i="14"/>
  <c r="K38" i="14"/>
  <c r="L38" i="14" s="1"/>
  <c r="J38" i="14"/>
  <c r="I38" i="14"/>
  <c r="F38" i="14"/>
  <c r="AN37" i="14"/>
  <c r="AQ37" i="14" s="1"/>
  <c r="AL37" i="14"/>
  <c r="AC37" i="14"/>
  <c r="Y37" i="14"/>
  <c r="K37" i="14"/>
  <c r="M37" i="14" s="1"/>
  <c r="J37" i="14"/>
  <c r="I37" i="14"/>
  <c r="F37" i="14"/>
  <c r="AN36" i="14"/>
  <c r="AQ36" i="14" s="1"/>
  <c r="AL36" i="14"/>
  <c r="AC36" i="14"/>
  <c r="Y36" i="14"/>
  <c r="K36" i="14"/>
  <c r="L36" i="14" s="1"/>
  <c r="J36" i="14"/>
  <c r="I36" i="14"/>
  <c r="F36" i="14"/>
  <c r="AN35" i="14"/>
  <c r="AQ35" i="14" s="1"/>
  <c r="AL35" i="14"/>
  <c r="AC35" i="14"/>
  <c r="Y35" i="14"/>
  <c r="K35" i="14"/>
  <c r="M35" i="14" s="1"/>
  <c r="J35" i="14"/>
  <c r="I35" i="14"/>
  <c r="F35" i="14"/>
  <c r="AN34" i="14"/>
  <c r="AQ34" i="14" s="1"/>
  <c r="AL34" i="14"/>
  <c r="AC34" i="14"/>
  <c r="Y34" i="14"/>
  <c r="K34" i="14"/>
  <c r="L34" i="14" s="1"/>
  <c r="J34" i="14"/>
  <c r="I34" i="14"/>
  <c r="F34" i="14"/>
  <c r="AN33" i="14"/>
  <c r="AQ33" i="14" s="1"/>
  <c r="AL33" i="14"/>
  <c r="AC33" i="14"/>
  <c r="Y33" i="14"/>
  <c r="K33" i="14"/>
  <c r="M33" i="14" s="1"/>
  <c r="J33" i="14"/>
  <c r="I33" i="14"/>
  <c r="F33" i="14"/>
  <c r="AN32" i="14"/>
  <c r="AQ32" i="14" s="1"/>
  <c r="AL32" i="14"/>
  <c r="AC32" i="14"/>
  <c r="Y32" i="14"/>
  <c r="K32" i="14"/>
  <c r="L32" i="14" s="1"/>
  <c r="J32" i="14"/>
  <c r="I32" i="14"/>
  <c r="F32" i="14"/>
  <c r="AN31" i="14"/>
  <c r="AQ31" i="14" s="1"/>
  <c r="AL31" i="14"/>
  <c r="AC31" i="14"/>
  <c r="Y31" i="14"/>
  <c r="K31" i="14"/>
  <c r="M31" i="14" s="1"/>
  <c r="J31" i="14"/>
  <c r="I31" i="14"/>
  <c r="F31" i="14"/>
  <c r="AN30" i="14"/>
  <c r="AQ30" i="14" s="1"/>
  <c r="AL30" i="14"/>
  <c r="AC30" i="14"/>
  <c r="Y30" i="14"/>
  <c r="K30" i="14"/>
  <c r="J30" i="14"/>
  <c r="I30" i="14"/>
  <c r="F30" i="14"/>
  <c r="AN29" i="14"/>
  <c r="AQ29" i="14" s="1"/>
  <c r="AL29" i="14"/>
  <c r="AC29" i="14"/>
  <c r="Y29" i="14"/>
  <c r="K29" i="14"/>
  <c r="M29" i="14" s="1"/>
  <c r="J29" i="14"/>
  <c r="I29" i="14"/>
  <c r="F29" i="14"/>
  <c r="AN28" i="14"/>
  <c r="AQ28" i="14" s="1"/>
  <c r="AL28" i="14"/>
  <c r="AC28" i="14"/>
  <c r="Y28" i="14"/>
  <c r="K28" i="14"/>
  <c r="J28" i="14"/>
  <c r="I28" i="14"/>
  <c r="F28" i="14"/>
  <c r="AN27" i="14"/>
  <c r="AQ27" i="14" s="1"/>
  <c r="AL27" i="14"/>
  <c r="AC27" i="14"/>
  <c r="Y27" i="14"/>
  <c r="K27" i="14"/>
  <c r="L27" i="14" s="1"/>
  <c r="J27" i="14"/>
  <c r="I27" i="14"/>
  <c r="F27" i="14"/>
  <c r="AN26" i="14"/>
  <c r="AQ26" i="14" s="1"/>
  <c r="AL26" i="14"/>
  <c r="AC26" i="14"/>
  <c r="Y26" i="14"/>
  <c r="K26" i="14"/>
  <c r="M26" i="14" s="1"/>
  <c r="J26" i="14"/>
  <c r="I26" i="14"/>
  <c r="F26" i="14"/>
  <c r="AN25" i="14"/>
  <c r="AQ25" i="14" s="1"/>
  <c r="AL25" i="14"/>
  <c r="AC25" i="14"/>
  <c r="Y25" i="14"/>
  <c r="K25" i="14"/>
  <c r="L25" i="14" s="1"/>
  <c r="J25" i="14"/>
  <c r="I25" i="14"/>
  <c r="F25" i="14"/>
  <c r="AN24" i="14"/>
  <c r="AQ24" i="14" s="1"/>
  <c r="AL24" i="14"/>
  <c r="AC24" i="14"/>
  <c r="Y24" i="14"/>
  <c r="K24" i="14"/>
  <c r="M24" i="14" s="1"/>
  <c r="J24" i="14"/>
  <c r="I24" i="14"/>
  <c r="F24" i="14"/>
  <c r="AN23" i="14"/>
  <c r="AQ23" i="14" s="1"/>
  <c r="AL23" i="14"/>
  <c r="AC23" i="14"/>
  <c r="Y23" i="14"/>
  <c r="K23" i="14"/>
  <c r="L23" i="14" s="1"/>
  <c r="J23" i="14"/>
  <c r="I23" i="14"/>
  <c r="F23" i="14"/>
  <c r="AN22" i="14"/>
  <c r="AQ22" i="14" s="1"/>
  <c r="AL22" i="14"/>
  <c r="AC22" i="14"/>
  <c r="Y22" i="14"/>
  <c r="K22" i="14"/>
  <c r="M22" i="14" s="1"/>
  <c r="J22" i="14"/>
  <c r="I22" i="14"/>
  <c r="F22" i="14"/>
  <c r="AN21" i="14"/>
  <c r="AQ21" i="14" s="1"/>
  <c r="AL21" i="14"/>
  <c r="AC21" i="14"/>
  <c r="Y21" i="14"/>
  <c r="K21" i="14"/>
  <c r="L21" i="14" s="1"/>
  <c r="J21" i="14"/>
  <c r="I21" i="14"/>
  <c r="F21" i="14"/>
  <c r="AN20" i="14"/>
  <c r="AQ20" i="14" s="1"/>
  <c r="AL20" i="14"/>
  <c r="AC20" i="14"/>
  <c r="Y20" i="14"/>
  <c r="K20" i="14"/>
  <c r="J20" i="14"/>
  <c r="I20" i="14"/>
  <c r="F20" i="14"/>
  <c r="AN19" i="14"/>
  <c r="AQ19" i="14" s="1"/>
  <c r="AL19" i="14"/>
  <c r="AC19" i="14"/>
  <c r="Y19" i="14"/>
  <c r="K19" i="14"/>
  <c r="L19" i="14" s="1"/>
  <c r="J19" i="14"/>
  <c r="I19" i="14"/>
  <c r="F19" i="14"/>
  <c r="AN18" i="14"/>
  <c r="AQ18" i="14" s="1"/>
  <c r="AL18" i="14"/>
  <c r="AC18" i="14"/>
  <c r="Y18" i="14"/>
  <c r="K18" i="14"/>
  <c r="M18" i="14" s="1"/>
  <c r="J18" i="14"/>
  <c r="I18" i="14"/>
  <c r="F18" i="14"/>
  <c r="AN17" i="14"/>
  <c r="AQ17" i="14" s="1"/>
  <c r="AL17" i="14"/>
  <c r="AC17" i="14"/>
  <c r="Y17" i="14"/>
  <c r="K17" i="14"/>
  <c r="L17" i="14" s="1"/>
  <c r="J17" i="14"/>
  <c r="I17" i="14"/>
  <c r="F17" i="14"/>
  <c r="AN16" i="14"/>
  <c r="AQ16" i="14" s="1"/>
  <c r="AL16" i="14"/>
  <c r="AC16" i="14"/>
  <c r="Y16" i="14"/>
  <c r="K16" i="14"/>
  <c r="M16" i="14" s="1"/>
  <c r="J16" i="14"/>
  <c r="I16" i="14"/>
  <c r="F16" i="14"/>
  <c r="AN15" i="14"/>
  <c r="AQ15" i="14" s="1"/>
  <c r="AL15" i="14"/>
  <c r="AC15" i="14"/>
  <c r="Y15" i="14"/>
  <c r="K15" i="14"/>
  <c r="L15" i="14" s="1"/>
  <c r="J15" i="14"/>
  <c r="I15" i="14"/>
  <c r="F15" i="14"/>
  <c r="AN14" i="14"/>
  <c r="AQ14" i="14" s="1"/>
  <c r="AL14" i="14"/>
  <c r="AC14" i="14"/>
  <c r="Y14" i="14"/>
  <c r="K14" i="14"/>
  <c r="M14" i="14" s="1"/>
  <c r="J14" i="14"/>
  <c r="I14" i="14"/>
  <c r="F14" i="14"/>
  <c r="AN13" i="14"/>
  <c r="AQ13" i="14" s="1"/>
  <c r="AF13" i="14"/>
  <c r="AC13" i="14"/>
  <c r="Y13" i="14"/>
  <c r="K13" i="14"/>
  <c r="M13" i="14" s="1"/>
  <c r="J13" i="14"/>
  <c r="I13" i="14"/>
  <c r="F13" i="14"/>
  <c r="AN12" i="14"/>
  <c r="AQ12" i="14" s="1"/>
  <c r="AL12" i="14"/>
  <c r="AC12" i="14"/>
  <c r="Y12" i="14"/>
  <c r="K12" i="14"/>
  <c r="M12" i="14" s="1"/>
  <c r="J12" i="14"/>
  <c r="I12" i="14"/>
  <c r="F12" i="14"/>
  <c r="AN11" i="14"/>
  <c r="AQ11" i="14" s="1"/>
  <c r="AL11" i="14"/>
  <c r="AC11" i="14"/>
  <c r="Y11" i="14"/>
  <c r="K11" i="14"/>
  <c r="M11" i="14" s="1"/>
  <c r="J11" i="14"/>
  <c r="I11" i="14"/>
  <c r="F11" i="14"/>
  <c r="AN10" i="14"/>
  <c r="AQ10" i="14" s="1"/>
  <c r="AL10" i="14"/>
  <c r="AC10" i="14"/>
  <c r="Y10" i="14"/>
  <c r="K10" i="14"/>
  <c r="L10" i="14" s="1"/>
  <c r="J10" i="14"/>
  <c r="I10" i="14"/>
  <c r="F10" i="14"/>
  <c r="AN9" i="14"/>
  <c r="AQ9" i="14" s="1"/>
  <c r="AL9" i="14"/>
  <c r="AC9" i="14"/>
  <c r="Y9" i="14"/>
  <c r="K9" i="14"/>
  <c r="M9" i="14" s="1"/>
  <c r="J9" i="14"/>
  <c r="I9" i="14"/>
  <c r="F9" i="14"/>
  <c r="AN8" i="14"/>
  <c r="AQ8" i="14" s="1"/>
  <c r="AL8" i="14"/>
  <c r="AC8" i="14"/>
  <c r="Y8" i="14"/>
  <c r="K8" i="14"/>
  <c r="L8" i="14" s="1"/>
  <c r="J8" i="14"/>
  <c r="I8" i="14"/>
  <c r="F8" i="14"/>
  <c r="AN7" i="14"/>
  <c r="AQ7" i="14" s="1"/>
  <c r="AL7" i="14"/>
  <c r="AC7" i="14"/>
  <c r="Y7" i="14"/>
  <c r="K7" i="14"/>
  <c r="L7" i="14" s="1"/>
  <c r="J7" i="14"/>
  <c r="I7" i="14"/>
  <c r="F7" i="14"/>
  <c r="AN6" i="14"/>
  <c r="AQ6" i="14" s="1"/>
  <c r="AL6" i="14"/>
  <c r="AC6" i="14"/>
  <c r="Y6" i="14"/>
  <c r="K6" i="14"/>
  <c r="M6" i="14" s="1"/>
  <c r="J6" i="14"/>
  <c r="I6" i="14"/>
  <c r="F6" i="14"/>
  <c r="AN5" i="14"/>
  <c r="AQ5" i="14" s="1"/>
  <c r="AL5" i="14"/>
  <c r="AC5" i="14"/>
  <c r="Y5" i="14"/>
  <c r="K5" i="14"/>
  <c r="M5" i="14" s="1"/>
  <c r="J5" i="14"/>
  <c r="I5" i="14"/>
  <c r="F5" i="14"/>
  <c r="AN4" i="14"/>
  <c r="AL4" i="14"/>
  <c r="AC4" i="14"/>
  <c r="Y4" i="14"/>
  <c r="K4" i="14"/>
  <c r="M4" i="14" s="1"/>
  <c r="J4" i="14"/>
  <c r="I4" i="14"/>
  <c r="F4" i="14"/>
  <c r="K2" i="14"/>
  <c r="J2" i="14"/>
  <c r="D4" i="11"/>
  <c r="D3" i="11"/>
  <c r="D2" i="11"/>
  <c r="C70" i="10"/>
  <c r="D70" i="10" s="1"/>
  <c r="B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E3" i="10"/>
  <c r="D3" i="10"/>
  <c r="O83" i="12"/>
  <c r="W81" i="12"/>
  <c r="T81" i="12"/>
  <c r="O81" i="12"/>
  <c r="P81" i="12" s="1"/>
  <c r="AG76" i="12"/>
  <c r="AB76" i="12"/>
  <c r="AA76" i="12"/>
  <c r="N76" i="12"/>
  <c r="R75" i="12" s="1"/>
  <c r="H76" i="12"/>
  <c r="G76" i="12"/>
  <c r="E76" i="12"/>
  <c r="D76" i="12"/>
  <c r="C76" i="12"/>
  <c r="AL75" i="12"/>
  <c r="AO75" i="12" s="1"/>
  <c r="AF75" i="12"/>
  <c r="AC75" i="12"/>
  <c r="Y75" i="12"/>
  <c r="K75" i="12"/>
  <c r="M75" i="12" s="1"/>
  <c r="J75" i="12"/>
  <c r="I75" i="12"/>
  <c r="F75" i="12"/>
  <c r="AL74" i="12"/>
  <c r="AO74" i="12" s="1"/>
  <c r="AJ74" i="12"/>
  <c r="AC74" i="12"/>
  <c r="Y74" i="12"/>
  <c r="K74" i="12"/>
  <c r="M74" i="12" s="1"/>
  <c r="J74" i="12"/>
  <c r="I74" i="12"/>
  <c r="F74" i="12"/>
  <c r="AL73" i="12"/>
  <c r="AO73" i="12" s="1"/>
  <c r="AJ73" i="12"/>
  <c r="AC73" i="12"/>
  <c r="Y73" i="12"/>
  <c r="K73" i="12"/>
  <c r="M73" i="12" s="1"/>
  <c r="J73" i="12"/>
  <c r="I73" i="12"/>
  <c r="F73" i="12"/>
  <c r="AL72" i="12"/>
  <c r="AO72" i="12" s="1"/>
  <c r="AJ72" i="12"/>
  <c r="AC72" i="12"/>
  <c r="Y72" i="12"/>
  <c r="K72" i="12"/>
  <c r="M72" i="12" s="1"/>
  <c r="J72" i="12"/>
  <c r="I72" i="12"/>
  <c r="F72" i="12"/>
  <c r="AL71" i="12"/>
  <c r="AO71" i="12" s="1"/>
  <c r="AF71" i="12"/>
  <c r="AJ71" i="12" s="1"/>
  <c r="AC71" i="12"/>
  <c r="Y71" i="12"/>
  <c r="K71" i="12"/>
  <c r="M71" i="12" s="1"/>
  <c r="J71" i="12"/>
  <c r="I71" i="12"/>
  <c r="F71" i="12"/>
  <c r="AL70" i="12"/>
  <c r="AO70" i="12" s="1"/>
  <c r="AJ70" i="12"/>
  <c r="AC70" i="12"/>
  <c r="Y70" i="12"/>
  <c r="K70" i="12"/>
  <c r="L70" i="12" s="1"/>
  <c r="J70" i="12"/>
  <c r="I70" i="12"/>
  <c r="F70" i="12"/>
  <c r="AL69" i="12"/>
  <c r="AO69" i="12" s="1"/>
  <c r="AJ69" i="12"/>
  <c r="AC69" i="12"/>
  <c r="Y69" i="12"/>
  <c r="M69" i="12"/>
  <c r="L69" i="12"/>
  <c r="J69" i="12"/>
  <c r="I69" i="12"/>
  <c r="F69" i="12"/>
  <c r="AL68" i="12"/>
  <c r="AO68" i="12" s="1"/>
  <c r="AJ68" i="12"/>
  <c r="AC68" i="12"/>
  <c r="Y68" i="12"/>
  <c r="K68" i="12"/>
  <c r="M68" i="12" s="1"/>
  <c r="J68" i="12"/>
  <c r="I68" i="12"/>
  <c r="F68" i="12"/>
  <c r="AL67" i="12"/>
  <c r="AO67" i="12" s="1"/>
  <c r="AF67" i="12"/>
  <c r="AH67" i="12" s="1"/>
  <c r="AI67" i="12" s="1"/>
  <c r="AK67" i="12" s="1"/>
  <c r="Y67" i="12"/>
  <c r="K67" i="12"/>
  <c r="L67" i="12" s="1"/>
  <c r="J67" i="12"/>
  <c r="I67" i="12"/>
  <c r="F67" i="12"/>
  <c r="AL66" i="12"/>
  <c r="AO66" i="12" s="1"/>
  <c r="AF66" i="12"/>
  <c r="AJ66" i="12" s="1"/>
  <c r="AC66" i="12"/>
  <c r="Y66" i="12"/>
  <c r="K66" i="12"/>
  <c r="M66" i="12" s="1"/>
  <c r="J66" i="12"/>
  <c r="I66" i="12"/>
  <c r="F66" i="12"/>
  <c r="AL65" i="12"/>
  <c r="AO65" i="12" s="1"/>
  <c r="AJ65" i="12"/>
  <c r="AC65" i="12"/>
  <c r="Y65" i="12"/>
  <c r="K65" i="12"/>
  <c r="M65" i="12" s="1"/>
  <c r="J65" i="12"/>
  <c r="I65" i="12"/>
  <c r="F65" i="12"/>
  <c r="AL64" i="12"/>
  <c r="AO64" i="12" s="1"/>
  <c r="AJ64" i="12"/>
  <c r="AC64" i="12"/>
  <c r="Y64" i="12"/>
  <c r="K64" i="12"/>
  <c r="L64" i="12" s="1"/>
  <c r="J64" i="12"/>
  <c r="I64" i="12"/>
  <c r="F64" i="12"/>
  <c r="AL63" i="12"/>
  <c r="AO63" i="12" s="1"/>
  <c r="AJ63" i="12"/>
  <c r="AC63" i="12"/>
  <c r="Y63" i="12"/>
  <c r="K63" i="12"/>
  <c r="L63" i="12" s="1"/>
  <c r="J63" i="12"/>
  <c r="I63" i="12"/>
  <c r="F63" i="12"/>
  <c r="AL62" i="12"/>
  <c r="AO62" i="12" s="1"/>
  <c r="AF62" i="12"/>
  <c r="AJ62" i="12" s="1"/>
  <c r="AC62" i="12"/>
  <c r="Y62" i="12"/>
  <c r="K62" i="12"/>
  <c r="M62" i="12" s="1"/>
  <c r="J62" i="12"/>
  <c r="I62" i="12"/>
  <c r="F62" i="12"/>
  <c r="AL61" i="12"/>
  <c r="AO61" i="12" s="1"/>
  <c r="AJ61" i="12"/>
  <c r="AH61" i="12"/>
  <c r="AI61" i="12" s="1"/>
  <c r="AK61" i="12" s="1"/>
  <c r="M61" i="12"/>
  <c r="L61" i="12"/>
  <c r="I61" i="12"/>
  <c r="F61" i="12"/>
  <c r="AL60" i="12"/>
  <c r="AO60" i="12" s="1"/>
  <c r="AJ60" i="12"/>
  <c r="AC60" i="12"/>
  <c r="Y60" i="12"/>
  <c r="K60" i="12"/>
  <c r="M60" i="12" s="1"/>
  <c r="J60" i="12"/>
  <c r="I60" i="12"/>
  <c r="F60" i="12"/>
  <c r="AL59" i="12"/>
  <c r="AO59" i="12" s="1"/>
  <c r="AJ59" i="12"/>
  <c r="AC59" i="12"/>
  <c r="Y59" i="12"/>
  <c r="M59" i="12"/>
  <c r="L59" i="12"/>
  <c r="J59" i="12"/>
  <c r="I59" i="12"/>
  <c r="F59" i="12"/>
  <c r="AL58" i="12"/>
  <c r="AO58" i="12" s="1"/>
  <c r="AJ58" i="12"/>
  <c r="AC58" i="12"/>
  <c r="Y58" i="12"/>
  <c r="R58" i="12"/>
  <c r="K58" i="12"/>
  <c r="L58" i="12" s="1"/>
  <c r="J58" i="12"/>
  <c r="I58" i="12"/>
  <c r="F58" i="12"/>
  <c r="AL57" i="12"/>
  <c r="AO57" i="12" s="1"/>
  <c r="AJ57" i="12"/>
  <c r="AC57" i="12"/>
  <c r="Y57" i="12"/>
  <c r="K57" i="12"/>
  <c r="L57" i="12" s="1"/>
  <c r="J57" i="12"/>
  <c r="I57" i="12"/>
  <c r="F57" i="12"/>
  <c r="AL56" i="12"/>
  <c r="AO56" i="12" s="1"/>
  <c r="AJ56" i="12"/>
  <c r="AC56" i="12"/>
  <c r="Y56" i="12"/>
  <c r="K56" i="12"/>
  <c r="L56" i="12" s="1"/>
  <c r="J56" i="12"/>
  <c r="I56" i="12"/>
  <c r="F56" i="12"/>
  <c r="AL55" i="12"/>
  <c r="AO55" i="12" s="1"/>
  <c r="AJ55" i="12"/>
  <c r="AC55" i="12"/>
  <c r="Y55" i="12"/>
  <c r="K55" i="12"/>
  <c r="M55" i="12" s="1"/>
  <c r="J55" i="12"/>
  <c r="I55" i="12"/>
  <c r="F55" i="12"/>
  <c r="AL54" i="12"/>
  <c r="AO54" i="12" s="1"/>
  <c r="AJ54" i="12"/>
  <c r="AC54" i="12"/>
  <c r="Y54" i="12"/>
  <c r="K54" i="12"/>
  <c r="M54" i="12" s="1"/>
  <c r="J54" i="12"/>
  <c r="I54" i="12"/>
  <c r="F54" i="12"/>
  <c r="AL53" i="12"/>
  <c r="AO53" i="12" s="1"/>
  <c r="AF53" i="12"/>
  <c r="AJ53" i="12" s="1"/>
  <c r="AC53" i="12"/>
  <c r="Y53" i="12"/>
  <c r="K53" i="12"/>
  <c r="L53" i="12" s="1"/>
  <c r="J53" i="12"/>
  <c r="I53" i="12"/>
  <c r="F53" i="12"/>
  <c r="AL52" i="12"/>
  <c r="AO52" i="12" s="1"/>
  <c r="AJ52" i="12"/>
  <c r="AC52" i="12"/>
  <c r="Y52" i="12"/>
  <c r="K52" i="12"/>
  <c r="J52" i="12"/>
  <c r="I52" i="12"/>
  <c r="F52" i="12"/>
  <c r="AL51" i="12"/>
  <c r="AO51" i="12" s="1"/>
  <c r="AJ51" i="12"/>
  <c r="AC51" i="12"/>
  <c r="Y51" i="12"/>
  <c r="K51" i="12"/>
  <c r="L51" i="12" s="1"/>
  <c r="J51" i="12"/>
  <c r="I51" i="12"/>
  <c r="F51" i="12"/>
  <c r="AL50" i="12"/>
  <c r="AO50" i="12" s="1"/>
  <c r="AJ50" i="12"/>
  <c r="AC50" i="12"/>
  <c r="Y50" i="12"/>
  <c r="K50" i="12"/>
  <c r="L50" i="12" s="1"/>
  <c r="J50" i="12"/>
  <c r="I50" i="12"/>
  <c r="F50" i="12"/>
  <c r="AL49" i="12"/>
  <c r="AO49" i="12" s="1"/>
  <c r="AJ49" i="12"/>
  <c r="AC49" i="12"/>
  <c r="Y49" i="12"/>
  <c r="K49" i="12"/>
  <c r="J49" i="12"/>
  <c r="I49" i="12"/>
  <c r="F49" i="12"/>
  <c r="AL48" i="12"/>
  <c r="AO48" i="12" s="1"/>
  <c r="AJ48" i="12"/>
  <c r="AC48" i="12"/>
  <c r="Y48" i="12"/>
  <c r="K48" i="12"/>
  <c r="L48" i="12" s="1"/>
  <c r="J48" i="12"/>
  <c r="I48" i="12"/>
  <c r="F48" i="12"/>
  <c r="AL47" i="12"/>
  <c r="AO47" i="12" s="1"/>
  <c r="AJ47" i="12"/>
  <c r="AC47" i="12"/>
  <c r="Y47" i="12"/>
  <c r="K47" i="12"/>
  <c r="L47" i="12" s="1"/>
  <c r="J47" i="12"/>
  <c r="I47" i="12"/>
  <c r="F47" i="12"/>
  <c r="AL46" i="12"/>
  <c r="AO46" i="12" s="1"/>
  <c r="AJ46" i="12"/>
  <c r="AC46" i="12"/>
  <c r="Y46" i="12"/>
  <c r="R46" i="12"/>
  <c r="S46" i="12" s="1"/>
  <c r="K46" i="12"/>
  <c r="L46" i="12" s="1"/>
  <c r="J46" i="12"/>
  <c r="I46" i="12"/>
  <c r="F46" i="12"/>
  <c r="AL45" i="12"/>
  <c r="AO45" i="12" s="1"/>
  <c r="AJ45" i="12"/>
  <c r="AC45" i="12"/>
  <c r="Y45" i="12"/>
  <c r="K45" i="12"/>
  <c r="L45" i="12" s="1"/>
  <c r="J45" i="12"/>
  <c r="I45" i="12"/>
  <c r="F45" i="12"/>
  <c r="AL44" i="12"/>
  <c r="AO44" i="12" s="1"/>
  <c r="AF44" i="12"/>
  <c r="AJ44" i="12" s="1"/>
  <c r="AC44" i="12"/>
  <c r="Y44" i="12"/>
  <c r="K44" i="12"/>
  <c r="M44" i="12" s="1"/>
  <c r="J44" i="12"/>
  <c r="I44" i="12"/>
  <c r="F44" i="12"/>
  <c r="AL43" i="12"/>
  <c r="AO43" i="12" s="1"/>
  <c r="AJ43" i="12"/>
  <c r="AC43" i="12"/>
  <c r="Y43" i="12"/>
  <c r="K43" i="12"/>
  <c r="M43" i="12" s="1"/>
  <c r="J43" i="12"/>
  <c r="I43" i="12"/>
  <c r="F43" i="12"/>
  <c r="AL42" i="12"/>
  <c r="AO42" i="12" s="1"/>
  <c r="AJ42" i="12"/>
  <c r="AC42" i="12"/>
  <c r="Y42" i="12"/>
  <c r="K42" i="12"/>
  <c r="M42" i="12" s="1"/>
  <c r="J42" i="12"/>
  <c r="I42" i="12"/>
  <c r="F42" i="12"/>
  <c r="AL41" i="12"/>
  <c r="AO41" i="12" s="1"/>
  <c r="AJ41" i="12"/>
  <c r="AC41" i="12"/>
  <c r="Y41" i="12"/>
  <c r="K41" i="12"/>
  <c r="M41" i="12" s="1"/>
  <c r="J41" i="12"/>
  <c r="I41" i="12"/>
  <c r="F41" i="12"/>
  <c r="AL40" i="12"/>
  <c r="AO40" i="12" s="1"/>
  <c r="AJ40" i="12"/>
  <c r="AC40" i="12"/>
  <c r="Y40" i="12"/>
  <c r="K40" i="12"/>
  <c r="J40" i="12"/>
  <c r="I40" i="12"/>
  <c r="F40" i="12"/>
  <c r="AL39" i="12"/>
  <c r="AO39" i="12" s="1"/>
  <c r="AF39" i="12"/>
  <c r="AJ39" i="12" s="1"/>
  <c r="AC39" i="12"/>
  <c r="Y39" i="12"/>
  <c r="K39" i="12"/>
  <c r="J39" i="12"/>
  <c r="I39" i="12"/>
  <c r="F39" i="12"/>
  <c r="AL38" i="12"/>
  <c r="AO38" i="12" s="1"/>
  <c r="AJ38" i="12"/>
  <c r="AC38" i="12"/>
  <c r="Y38" i="12"/>
  <c r="K38" i="12"/>
  <c r="L38" i="12" s="1"/>
  <c r="J38" i="12"/>
  <c r="I38" i="12"/>
  <c r="F38" i="12"/>
  <c r="AL37" i="12"/>
  <c r="AO37" i="12" s="1"/>
  <c r="AJ37" i="12"/>
  <c r="AC37" i="12"/>
  <c r="Y37" i="12"/>
  <c r="K37" i="12"/>
  <c r="J37" i="12"/>
  <c r="I37" i="12"/>
  <c r="F37" i="12"/>
  <c r="AL36" i="12"/>
  <c r="AO36" i="12" s="1"/>
  <c r="AJ36" i="12"/>
  <c r="AC36" i="12"/>
  <c r="Y36" i="12"/>
  <c r="K36" i="12"/>
  <c r="L36" i="12" s="1"/>
  <c r="J36" i="12"/>
  <c r="I36" i="12"/>
  <c r="F36" i="12"/>
  <c r="AL35" i="12"/>
  <c r="AO35" i="12" s="1"/>
  <c r="AJ35" i="12"/>
  <c r="AC35" i="12"/>
  <c r="Y35" i="12"/>
  <c r="K35" i="12"/>
  <c r="L35" i="12" s="1"/>
  <c r="J35" i="12"/>
  <c r="I35" i="12"/>
  <c r="F35" i="12"/>
  <c r="AL34" i="12"/>
  <c r="AO34" i="12" s="1"/>
  <c r="AJ34" i="12"/>
  <c r="AC34" i="12"/>
  <c r="Y34" i="12"/>
  <c r="K34" i="12"/>
  <c r="L34" i="12" s="1"/>
  <c r="J34" i="12"/>
  <c r="I34" i="12"/>
  <c r="F34" i="12"/>
  <c r="AL33" i="12"/>
  <c r="AO33" i="12" s="1"/>
  <c r="AJ33" i="12"/>
  <c r="AC33" i="12"/>
  <c r="Y33" i="12"/>
  <c r="K33" i="12"/>
  <c r="L33" i="12" s="1"/>
  <c r="J33" i="12"/>
  <c r="I33" i="12"/>
  <c r="F33" i="12"/>
  <c r="AL32" i="12"/>
  <c r="AO32" i="12" s="1"/>
  <c r="AJ32" i="12"/>
  <c r="AC32" i="12"/>
  <c r="Y32" i="12"/>
  <c r="K32" i="12"/>
  <c r="L32" i="12" s="1"/>
  <c r="J32" i="12"/>
  <c r="I32" i="12"/>
  <c r="F32" i="12"/>
  <c r="AL31" i="12"/>
  <c r="AO31" i="12" s="1"/>
  <c r="AJ31" i="12"/>
  <c r="AC31" i="12"/>
  <c r="Y31" i="12"/>
  <c r="K31" i="12"/>
  <c r="L31" i="12" s="1"/>
  <c r="J31" i="12"/>
  <c r="I31" i="12"/>
  <c r="F31" i="12"/>
  <c r="AL30" i="12"/>
  <c r="AO30" i="12" s="1"/>
  <c r="AJ30" i="12"/>
  <c r="AC30" i="12"/>
  <c r="Y30" i="12"/>
  <c r="K30" i="12"/>
  <c r="L30" i="12" s="1"/>
  <c r="J30" i="12"/>
  <c r="I30" i="12"/>
  <c r="F30" i="12"/>
  <c r="AL29" i="12"/>
  <c r="AO29" i="12" s="1"/>
  <c r="AJ29" i="12"/>
  <c r="AC29" i="12"/>
  <c r="Y29" i="12"/>
  <c r="K29" i="12"/>
  <c r="J29" i="12"/>
  <c r="I29" i="12"/>
  <c r="F29" i="12"/>
  <c r="AL28" i="12"/>
  <c r="AO28" i="12" s="1"/>
  <c r="AJ28" i="12"/>
  <c r="AC28" i="12"/>
  <c r="Y28" i="12"/>
  <c r="K28" i="12"/>
  <c r="L28" i="12" s="1"/>
  <c r="J28" i="12"/>
  <c r="I28" i="12"/>
  <c r="F28" i="12"/>
  <c r="AL27" i="12"/>
  <c r="AO27" i="12" s="1"/>
  <c r="AJ27" i="12"/>
  <c r="AC27" i="12"/>
  <c r="Y27" i="12"/>
  <c r="K27" i="12"/>
  <c r="L27" i="12" s="1"/>
  <c r="J27" i="12"/>
  <c r="I27" i="12"/>
  <c r="F27" i="12"/>
  <c r="AL26" i="12"/>
  <c r="AO26" i="12" s="1"/>
  <c r="AJ26" i="12"/>
  <c r="AC26" i="12"/>
  <c r="Y26" i="12"/>
  <c r="R26" i="12"/>
  <c r="K26" i="12"/>
  <c r="L26" i="12" s="1"/>
  <c r="J26" i="12"/>
  <c r="I26" i="12"/>
  <c r="F26" i="12"/>
  <c r="AL25" i="12"/>
  <c r="AO25" i="12" s="1"/>
  <c r="AJ25" i="12"/>
  <c r="AC25" i="12"/>
  <c r="Y25" i="12"/>
  <c r="K25" i="12"/>
  <c r="L25" i="12" s="1"/>
  <c r="J25" i="12"/>
  <c r="I25" i="12"/>
  <c r="F25" i="12"/>
  <c r="AL24" i="12"/>
  <c r="AO24" i="12" s="1"/>
  <c r="AJ24" i="12"/>
  <c r="AC24" i="12"/>
  <c r="Y24" i="12"/>
  <c r="K24" i="12"/>
  <c r="L24" i="12" s="1"/>
  <c r="J24" i="12"/>
  <c r="I24" i="12"/>
  <c r="F24" i="12"/>
  <c r="AL23" i="12"/>
  <c r="AO23" i="12" s="1"/>
  <c r="AJ23" i="12"/>
  <c r="AC23" i="12"/>
  <c r="Y23" i="12"/>
  <c r="K23" i="12"/>
  <c r="L23" i="12" s="1"/>
  <c r="J23" i="12"/>
  <c r="I23" i="12"/>
  <c r="F23" i="12"/>
  <c r="AL22" i="12"/>
  <c r="AO22" i="12" s="1"/>
  <c r="AJ22" i="12"/>
  <c r="AC22" i="12"/>
  <c r="Y22" i="12"/>
  <c r="K22" i="12"/>
  <c r="L22" i="12" s="1"/>
  <c r="J22" i="12"/>
  <c r="I22" i="12"/>
  <c r="F22" i="12"/>
  <c r="AL21" i="12"/>
  <c r="AO21" i="12" s="1"/>
  <c r="AJ21" i="12"/>
  <c r="AC21" i="12"/>
  <c r="Y21" i="12"/>
  <c r="K21" i="12"/>
  <c r="J21" i="12"/>
  <c r="I21" i="12"/>
  <c r="F21" i="12"/>
  <c r="AL20" i="12"/>
  <c r="AO20" i="12" s="1"/>
  <c r="AJ20" i="12"/>
  <c r="AC20" i="12"/>
  <c r="Y20" i="12"/>
  <c r="K20" i="12"/>
  <c r="L20" i="12" s="1"/>
  <c r="J20" i="12"/>
  <c r="I20" i="12"/>
  <c r="F20" i="12"/>
  <c r="AL19" i="12"/>
  <c r="AO19" i="12" s="1"/>
  <c r="AJ19" i="12"/>
  <c r="AC19" i="12"/>
  <c r="Y19" i="12"/>
  <c r="K19" i="12"/>
  <c r="L19" i="12" s="1"/>
  <c r="J19" i="12"/>
  <c r="I19" i="12"/>
  <c r="F19" i="12"/>
  <c r="AL18" i="12"/>
  <c r="AO18" i="12" s="1"/>
  <c r="AJ18" i="12"/>
  <c r="AC18" i="12"/>
  <c r="Y18" i="12"/>
  <c r="K18" i="12"/>
  <c r="L18" i="12" s="1"/>
  <c r="J18" i="12"/>
  <c r="I18" i="12"/>
  <c r="F18" i="12"/>
  <c r="AL17" i="12"/>
  <c r="AO17" i="12" s="1"/>
  <c r="AJ17" i="12"/>
  <c r="AC17" i="12"/>
  <c r="Y17" i="12"/>
  <c r="K17" i="12"/>
  <c r="L17" i="12" s="1"/>
  <c r="J17" i="12"/>
  <c r="I17" i="12"/>
  <c r="F17" i="12"/>
  <c r="AL16" i="12"/>
  <c r="AO16" i="12" s="1"/>
  <c r="AJ16" i="12"/>
  <c r="AC16" i="12"/>
  <c r="Y16" i="12"/>
  <c r="K16" i="12"/>
  <c r="L16" i="12" s="1"/>
  <c r="J16" i="12"/>
  <c r="I16" i="12"/>
  <c r="F16" i="12"/>
  <c r="AL15" i="12"/>
  <c r="AO15" i="12" s="1"/>
  <c r="AJ15" i="12"/>
  <c r="AC15" i="12"/>
  <c r="Y15" i="12"/>
  <c r="K15" i="12"/>
  <c r="L15" i="12" s="1"/>
  <c r="J15" i="12"/>
  <c r="I15" i="12"/>
  <c r="F15" i="12"/>
  <c r="AL14" i="12"/>
  <c r="AO14" i="12" s="1"/>
  <c r="AJ14" i="12"/>
  <c r="AC14" i="12"/>
  <c r="Y14" i="12"/>
  <c r="R14" i="12"/>
  <c r="S14" i="12" s="1"/>
  <c r="K14" i="12"/>
  <c r="J14" i="12"/>
  <c r="I14" i="12"/>
  <c r="F14" i="12"/>
  <c r="AL13" i="12"/>
  <c r="AO13" i="12" s="1"/>
  <c r="AF13" i="12"/>
  <c r="AC13" i="12"/>
  <c r="Y13" i="12"/>
  <c r="K13" i="12"/>
  <c r="L13" i="12" s="1"/>
  <c r="J13" i="12"/>
  <c r="I13" i="12"/>
  <c r="F13" i="12"/>
  <c r="AL12" i="12"/>
  <c r="AO12" i="12" s="1"/>
  <c r="AJ12" i="12"/>
  <c r="AC12" i="12"/>
  <c r="Y12" i="12"/>
  <c r="K12" i="12"/>
  <c r="L12" i="12" s="1"/>
  <c r="J12" i="12"/>
  <c r="I12" i="12"/>
  <c r="F12" i="12"/>
  <c r="AL11" i="12"/>
  <c r="AO11" i="12" s="1"/>
  <c r="AJ11" i="12"/>
  <c r="AC11" i="12"/>
  <c r="Y11" i="12"/>
  <c r="K11" i="12"/>
  <c r="L11" i="12" s="1"/>
  <c r="J11" i="12"/>
  <c r="I11" i="12"/>
  <c r="F11" i="12"/>
  <c r="AL10" i="12"/>
  <c r="AO10" i="12" s="1"/>
  <c r="AJ10" i="12"/>
  <c r="AC10" i="12"/>
  <c r="Y10" i="12"/>
  <c r="K10" i="12"/>
  <c r="M10" i="12" s="1"/>
  <c r="J10" i="12"/>
  <c r="I10" i="12"/>
  <c r="F10" i="12"/>
  <c r="AL9" i="12"/>
  <c r="AO9" i="12" s="1"/>
  <c r="AJ9" i="12"/>
  <c r="AC9" i="12"/>
  <c r="Y9" i="12"/>
  <c r="K9" i="12"/>
  <c r="L9" i="12" s="1"/>
  <c r="J9" i="12"/>
  <c r="I9" i="12"/>
  <c r="F9" i="12"/>
  <c r="AL8" i="12"/>
  <c r="AO8" i="12" s="1"/>
  <c r="AJ8" i="12"/>
  <c r="AC8" i="12"/>
  <c r="Y8" i="12"/>
  <c r="K8" i="12"/>
  <c r="M8" i="12" s="1"/>
  <c r="J8" i="12"/>
  <c r="I8" i="12"/>
  <c r="F8" i="12"/>
  <c r="AL7" i="12"/>
  <c r="AO7" i="12" s="1"/>
  <c r="AJ7" i="12"/>
  <c r="AC7" i="12"/>
  <c r="Y7" i="12"/>
  <c r="K7" i="12"/>
  <c r="L7" i="12" s="1"/>
  <c r="J7" i="12"/>
  <c r="I7" i="12"/>
  <c r="F7" i="12"/>
  <c r="AL6" i="12"/>
  <c r="AO6" i="12" s="1"/>
  <c r="AJ6" i="12"/>
  <c r="AC6" i="12"/>
  <c r="Y6" i="12"/>
  <c r="K6" i="12"/>
  <c r="M6" i="12" s="1"/>
  <c r="J6" i="12"/>
  <c r="I6" i="12"/>
  <c r="F6" i="12"/>
  <c r="AL5" i="12"/>
  <c r="AO5" i="12" s="1"/>
  <c r="AJ5" i="12"/>
  <c r="AC5" i="12"/>
  <c r="Y5" i="12"/>
  <c r="K5" i="12"/>
  <c r="L5" i="12" s="1"/>
  <c r="J5" i="12"/>
  <c r="I5" i="12"/>
  <c r="F5" i="12"/>
  <c r="AL4" i="12"/>
  <c r="AJ4" i="12"/>
  <c r="AC4" i="12"/>
  <c r="Y4" i="12"/>
  <c r="K4" i="12"/>
  <c r="J4" i="12"/>
  <c r="I4" i="12"/>
  <c r="F4" i="12"/>
  <c r="K2" i="12"/>
  <c r="J2" i="12"/>
  <c r="O83" i="9"/>
  <c r="W81" i="9"/>
  <c r="T81" i="9"/>
  <c r="O81" i="9"/>
  <c r="P81" i="9" s="1"/>
  <c r="AG76" i="9"/>
  <c r="AB76" i="9"/>
  <c r="AA76" i="9"/>
  <c r="N76" i="9"/>
  <c r="R71" i="9" s="1"/>
  <c r="H76" i="9"/>
  <c r="G76" i="9"/>
  <c r="E76" i="9"/>
  <c r="D76" i="9"/>
  <c r="C76" i="9"/>
  <c r="AL75" i="9"/>
  <c r="AO75" i="9" s="1"/>
  <c r="AF75" i="9"/>
  <c r="AJ75" i="9" s="1"/>
  <c r="AC75" i="9"/>
  <c r="Y75" i="9"/>
  <c r="K75" i="9"/>
  <c r="M75" i="9" s="1"/>
  <c r="J75" i="9"/>
  <c r="I75" i="9"/>
  <c r="F75" i="9"/>
  <c r="AL74" i="9"/>
  <c r="AO74" i="9" s="1"/>
  <c r="AF74" i="9"/>
  <c r="AC74" i="9"/>
  <c r="Y74" i="9"/>
  <c r="K74" i="9"/>
  <c r="M74" i="9" s="1"/>
  <c r="J74" i="9"/>
  <c r="I74" i="9"/>
  <c r="F74" i="9"/>
  <c r="AL73" i="9"/>
  <c r="AO73" i="9" s="1"/>
  <c r="AF73" i="9"/>
  <c r="AJ73" i="9" s="1"/>
  <c r="AC73" i="9"/>
  <c r="Y73" i="9"/>
  <c r="K73" i="9"/>
  <c r="L73" i="9" s="1"/>
  <c r="J73" i="9"/>
  <c r="I73" i="9"/>
  <c r="F73" i="9"/>
  <c r="AL72" i="9"/>
  <c r="AO72" i="9" s="1"/>
  <c r="AF72" i="9"/>
  <c r="AJ72" i="9" s="1"/>
  <c r="AC72" i="9"/>
  <c r="Y72" i="9"/>
  <c r="K72" i="9"/>
  <c r="J72" i="9"/>
  <c r="I72" i="9"/>
  <c r="F72" i="9"/>
  <c r="AL71" i="9"/>
  <c r="AO71" i="9" s="1"/>
  <c r="AF71" i="9"/>
  <c r="AC71" i="9"/>
  <c r="Y71" i="9"/>
  <c r="K71" i="9"/>
  <c r="J71" i="9"/>
  <c r="I71" i="9"/>
  <c r="F71" i="9"/>
  <c r="AL70" i="9"/>
  <c r="AO70" i="9" s="1"/>
  <c r="AF70" i="9"/>
  <c r="AJ70" i="9" s="1"/>
  <c r="AC70" i="9"/>
  <c r="Y70" i="9"/>
  <c r="K70" i="9"/>
  <c r="L70" i="9" s="1"/>
  <c r="J70" i="9"/>
  <c r="I70" i="9"/>
  <c r="F70" i="9"/>
  <c r="AL69" i="9"/>
  <c r="AO69" i="9" s="1"/>
  <c r="AJ69" i="9"/>
  <c r="AC69" i="9"/>
  <c r="Y69" i="9"/>
  <c r="M69" i="9"/>
  <c r="L69" i="9"/>
  <c r="J69" i="9"/>
  <c r="I69" i="9"/>
  <c r="F69" i="9"/>
  <c r="AL68" i="9"/>
  <c r="AO68" i="9" s="1"/>
  <c r="AJ68" i="9"/>
  <c r="AC68" i="9"/>
  <c r="Y68" i="9"/>
  <c r="K68" i="9"/>
  <c r="M68" i="9" s="1"/>
  <c r="J68" i="9"/>
  <c r="I68" i="9"/>
  <c r="F68" i="9"/>
  <c r="AL67" i="9"/>
  <c r="AO67" i="9" s="1"/>
  <c r="AF67" i="9"/>
  <c r="AH67" i="9" s="1"/>
  <c r="AI67" i="9" s="1"/>
  <c r="AK67" i="9" s="1"/>
  <c r="Y67" i="9"/>
  <c r="K67" i="9"/>
  <c r="M67" i="9" s="1"/>
  <c r="J67" i="9"/>
  <c r="I67" i="9"/>
  <c r="F67" i="9"/>
  <c r="AL66" i="9"/>
  <c r="AO66" i="9" s="1"/>
  <c r="AF66" i="9"/>
  <c r="AJ66" i="9" s="1"/>
  <c r="AC66" i="9"/>
  <c r="Y66" i="9"/>
  <c r="K66" i="9"/>
  <c r="M66" i="9" s="1"/>
  <c r="J66" i="9"/>
  <c r="I66" i="9"/>
  <c r="F66" i="9"/>
  <c r="AL65" i="9"/>
  <c r="AO65" i="9" s="1"/>
  <c r="AF65" i="9"/>
  <c r="AC65" i="9"/>
  <c r="Y65" i="9"/>
  <c r="K65" i="9"/>
  <c r="J65" i="9"/>
  <c r="I65" i="9"/>
  <c r="F65" i="9"/>
  <c r="AL64" i="9"/>
  <c r="AO64" i="9" s="1"/>
  <c r="AJ64" i="9"/>
  <c r="AC64" i="9"/>
  <c r="Y64" i="9"/>
  <c r="K64" i="9"/>
  <c r="J64" i="9"/>
  <c r="I64" i="9"/>
  <c r="F64" i="9"/>
  <c r="AL63" i="9"/>
  <c r="AO63" i="9" s="1"/>
  <c r="AF63" i="9"/>
  <c r="AJ63" i="9" s="1"/>
  <c r="AC63" i="9"/>
  <c r="Y63" i="9"/>
  <c r="K63" i="9"/>
  <c r="M63" i="9" s="1"/>
  <c r="J63" i="9"/>
  <c r="I63" i="9"/>
  <c r="F63" i="9"/>
  <c r="AL62" i="9"/>
  <c r="AO62" i="9" s="1"/>
  <c r="AF62" i="9"/>
  <c r="AJ62" i="9" s="1"/>
  <c r="AC62" i="9"/>
  <c r="Y62" i="9"/>
  <c r="K62" i="9"/>
  <c r="L62" i="9" s="1"/>
  <c r="J62" i="9"/>
  <c r="I62" i="9"/>
  <c r="F62" i="9"/>
  <c r="AL61" i="9"/>
  <c r="AO61" i="9" s="1"/>
  <c r="AF61" i="9"/>
  <c r="AJ61" i="9" s="1"/>
  <c r="M61" i="9"/>
  <c r="L61" i="9"/>
  <c r="I61" i="9"/>
  <c r="F61" i="9"/>
  <c r="AL60" i="9"/>
  <c r="AO60" i="9" s="1"/>
  <c r="AF60" i="9"/>
  <c r="AC60" i="9"/>
  <c r="Y60" i="9"/>
  <c r="K60" i="9"/>
  <c r="J60" i="9"/>
  <c r="I60" i="9"/>
  <c r="F60" i="9"/>
  <c r="AL59" i="9"/>
  <c r="AO59" i="9" s="1"/>
  <c r="AJ59" i="9"/>
  <c r="AC59" i="9"/>
  <c r="Y59" i="9"/>
  <c r="M59" i="9"/>
  <c r="L59" i="9"/>
  <c r="J59" i="9"/>
  <c r="I59" i="9"/>
  <c r="F59" i="9"/>
  <c r="AL58" i="9"/>
  <c r="AO58" i="9" s="1"/>
  <c r="AF58" i="9"/>
  <c r="AC58" i="9"/>
  <c r="Y58" i="9"/>
  <c r="K58" i="9"/>
  <c r="M58" i="9" s="1"/>
  <c r="J58" i="9"/>
  <c r="I58" i="9"/>
  <c r="F58" i="9"/>
  <c r="AL57" i="9"/>
  <c r="AO57" i="9" s="1"/>
  <c r="AF57" i="9"/>
  <c r="AJ57" i="9" s="1"/>
  <c r="AC57" i="9"/>
  <c r="Y57" i="9"/>
  <c r="K57" i="9"/>
  <c r="L57" i="9" s="1"/>
  <c r="J57" i="9"/>
  <c r="I57" i="9"/>
  <c r="F57" i="9"/>
  <c r="AL56" i="9"/>
  <c r="AO56" i="9" s="1"/>
  <c r="AF56" i="9"/>
  <c r="AJ56" i="9" s="1"/>
  <c r="AC56" i="9"/>
  <c r="Y56" i="9"/>
  <c r="K56" i="9"/>
  <c r="M56" i="9" s="1"/>
  <c r="J56" i="9"/>
  <c r="I56" i="9"/>
  <c r="F56" i="9"/>
  <c r="AL55" i="9"/>
  <c r="AO55" i="9" s="1"/>
  <c r="AJ55" i="9"/>
  <c r="AC55" i="9"/>
  <c r="Y55" i="9"/>
  <c r="K55" i="9"/>
  <c r="L55" i="9" s="1"/>
  <c r="J55" i="9"/>
  <c r="I55" i="9"/>
  <c r="F55" i="9"/>
  <c r="AL54" i="9"/>
  <c r="AO54" i="9" s="1"/>
  <c r="AF54" i="9"/>
  <c r="AJ54" i="9" s="1"/>
  <c r="AC54" i="9"/>
  <c r="Y54" i="9"/>
  <c r="K54" i="9"/>
  <c r="M54" i="9" s="1"/>
  <c r="J54" i="9"/>
  <c r="I54" i="9"/>
  <c r="F54" i="9"/>
  <c r="AL53" i="9"/>
  <c r="AO53" i="9" s="1"/>
  <c r="AF53" i="9"/>
  <c r="AC53" i="9"/>
  <c r="Y53" i="9"/>
  <c r="K53" i="9"/>
  <c r="M53" i="9" s="1"/>
  <c r="J53" i="9"/>
  <c r="I53" i="9"/>
  <c r="F53" i="9"/>
  <c r="AL52" i="9"/>
  <c r="AO52" i="9" s="1"/>
  <c r="AF52" i="9"/>
  <c r="AJ52" i="9" s="1"/>
  <c r="AC52" i="9"/>
  <c r="Y52" i="9"/>
  <c r="K52" i="9"/>
  <c r="J52" i="9"/>
  <c r="I52" i="9"/>
  <c r="F52" i="9"/>
  <c r="AL51" i="9"/>
  <c r="AO51" i="9" s="1"/>
  <c r="AF51" i="9"/>
  <c r="AJ51" i="9" s="1"/>
  <c r="AC51" i="9"/>
  <c r="Y51" i="9"/>
  <c r="K51" i="9"/>
  <c r="M51" i="9" s="1"/>
  <c r="J51" i="9"/>
  <c r="I51" i="9"/>
  <c r="F51" i="9"/>
  <c r="AL50" i="9"/>
  <c r="AO50" i="9" s="1"/>
  <c r="AF50" i="9"/>
  <c r="AC50" i="9"/>
  <c r="Y50" i="9"/>
  <c r="K50" i="9"/>
  <c r="M50" i="9" s="1"/>
  <c r="J50" i="9"/>
  <c r="I50" i="9"/>
  <c r="F50" i="9"/>
  <c r="AL49" i="9"/>
  <c r="AO49" i="9" s="1"/>
  <c r="AF49" i="9"/>
  <c r="AJ49" i="9" s="1"/>
  <c r="AC49" i="9"/>
  <c r="Y49" i="9"/>
  <c r="K49" i="9"/>
  <c r="M49" i="9" s="1"/>
  <c r="J49" i="9"/>
  <c r="I49" i="9"/>
  <c r="F49" i="9"/>
  <c r="AL48" i="9"/>
  <c r="AO48" i="9" s="1"/>
  <c r="AF48" i="9"/>
  <c r="AC48" i="9"/>
  <c r="Y48" i="9"/>
  <c r="K48" i="9"/>
  <c r="M48" i="9" s="1"/>
  <c r="J48" i="9"/>
  <c r="I48" i="9"/>
  <c r="F48" i="9"/>
  <c r="AL47" i="9"/>
  <c r="AO47" i="9" s="1"/>
  <c r="AJ47" i="9"/>
  <c r="AC47" i="9"/>
  <c r="Y47" i="9"/>
  <c r="K47" i="9"/>
  <c r="M47" i="9" s="1"/>
  <c r="J47" i="9"/>
  <c r="I47" i="9"/>
  <c r="F47" i="9"/>
  <c r="AL46" i="9"/>
  <c r="AO46" i="9" s="1"/>
  <c r="AJ46" i="9"/>
  <c r="AC46" i="9"/>
  <c r="Y46" i="9"/>
  <c r="K46" i="9"/>
  <c r="J46" i="9"/>
  <c r="I46" i="9"/>
  <c r="F46" i="9"/>
  <c r="AL45" i="9"/>
  <c r="AO45" i="9" s="1"/>
  <c r="AJ45" i="9"/>
  <c r="AC45" i="9"/>
  <c r="Y45" i="9"/>
  <c r="K45" i="9"/>
  <c r="M45" i="9" s="1"/>
  <c r="J45" i="9"/>
  <c r="I45" i="9"/>
  <c r="F45" i="9"/>
  <c r="AL44" i="9"/>
  <c r="AO44" i="9" s="1"/>
  <c r="AF44" i="9"/>
  <c r="AJ44" i="9" s="1"/>
  <c r="AC44" i="9"/>
  <c r="Y44" i="9"/>
  <c r="K44" i="9"/>
  <c r="J44" i="9"/>
  <c r="I44" i="9"/>
  <c r="F44" i="9"/>
  <c r="AL43" i="9"/>
  <c r="AO43" i="9" s="1"/>
  <c r="AF43" i="9"/>
  <c r="AC43" i="9"/>
  <c r="Y43" i="9"/>
  <c r="K43" i="9"/>
  <c r="M43" i="9" s="1"/>
  <c r="J43" i="9"/>
  <c r="I43" i="9"/>
  <c r="F43" i="9"/>
  <c r="AL42" i="9"/>
  <c r="AO42" i="9" s="1"/>
  <c r="AF42" i="9"/>
  <c r="AC42" i="9"/>
  <c r="Y42" i="9"/>
  <c r="K42" i="9"/>
  <c r="M42" i="9" s="1"/>
  <c r="J42" i="9"/>
  <c r="I42" i="9"/>
  <c r="F42" i="9"/>
  <c r="AL41" i="9"/>
  <c r="AO41" i="9" s="1"/>
  <c r="AJ41" i="9"/>
  <c r="AC41" i="9"/>
  <c r="Y41" i="9"/>
  <c r="K41" i="9"/>
  <c r="J41" i="9"/>
  <c r="I41" i="9"/>
  <c r="F41" i="9"/>
  <c r="AL40" i="9"/>
  <c r="AO40" i="9" s="1"/>
  <c r="AF40" i="9"/>
  <c r="AJ40" i="9" s="1"/>
  <c r="AC40" i="9"/>
  <c r="Y40" i="9"/>
  <c r="K40" i="9"/>
  <c r="L40" i="9" s="1"/>
  <c r="J40" i="9"/>
  <c r="I40" i="9"/>
  <c r="F40" i="9"/>
  <c r="AL39" i="9"/>
  <c r="AO39" i="9" s="1"/>
  <c r="AF39" i="9"/>
  <c r="AC39" i="9"/>
  <c r="Y39" i="9"/>
  <c r="K39" i="9"/>
  <c r="J39" i="9"/>
  <c r="I39" i="9"/>
  <c r="F39" i="9"/>
  <c r="AL38" i="9"/>
  <c r="AO38" i="9" s="1"/>
  <c r="AF38" i="9"/>
  <c r="AJ38" i="9" s="1"/>
  <c r="AC38" i="9"/>
  <c r="Y38" i="9"/>
  <c r="K38" i="9"/>
  <c r="J38" i="9"/>
  <c r="I38" i="9"/>
  <c r="F38" i="9"/>
  <c r="AL37" i="9"/>
  <c r="AO37" i="9" s="1"/>
  <c r="AF37" i="9"/>
  <c r="AC37" i="9"/>
  <c r="Y37" i="9"/>
  <c r="K37" i="9"/>
  <c r="L37" i="9" s="1"/>
  <c r="J37" i="9"/>
  <c r="I37" i="9"/>
  <c r="F37" i="9"/>
  <c r="AL36" i="9"/>
  <c r="AO36" i="9" s="1"/>
  <c r="AF36" i="9"/>
  <c r="AJ36" i="9" s="1"/>
  <c r="AC36" i="9"/>
  <c r="Y36" i="9"/>
  <c r="K36" i="9"/>
  <c r="L36" i="9" s="1"/>
  <c r="J36" i="9"/>
  <c r="I36" i="9"/>
  <c r="F36" i="9"/>
  <c r="AL35" i="9"/>
  <c r="AO35" i="9" s="1"/>
  <c r="AJ35" i="9"/>
  <c r="AC35" i="9"/>
  <c r="Y35" i="9"/>
  <c r="K35" i="9"/>
  <c r="J35" i="9"/>
  <c r="I35" i="9"/>
  <c r="F35" i="9"/>
  <c r="AL34" i="9"/>
  <c r="AO34" i="9" s="1"/>
  <c r="AF34" i="9"/>
  <c r="AJ34" i="9" s="1"/>
  <c r="AC34" i="9"/>
  <c r="Y34" i="9"/>
  <c r="K34" i="9"/>
  <c r="L34" i="9" s="1"/>
  <c r="J34" i="9"/>
  <c r="I34" i="9"/>
  <c r="F34" i="9"/>
  <c r="AL33" i="9"/>
  <c r="AO33" i="9" s="1"/>
  <c r="AJ33" i="9"/>
  <c r="AC33" i="9"/>
  <c r="Y33" i="9"/>
  <c r="K33" i="9"/>
  <c r="L33" i="9" s="1"/>
  <c r="J33" i="9"/>
  <c r="I33" i="9"/>
  <c r="F33" i="9"/>
  <c r="AL32" i="9"/>
  <c r="AO32" i="9" s="1"/>
  <c r="AF32" i="9"/>
  <c r="AC32" i="9"/>
  <c r="Y32" i="9"/>
  <c r="K32" i="9"/>
  <c r="J32" i="9"/>
  <c r="I32" i="9"/>
  <c r="F32" i="9"/>
  <c r="AL31" i="9"/>
  <c r="AO31" i="9" s="1"/>
  <c r="AF31" i="9"/>
  <c r="AJ31" i="9" s="1"/>
  <c r="AC31" i="9"/>
  <c r="Y31" i="9"/>
  <c r="K31" i="9"/>
  <c r="L31" i="9" s="1"/>
  <c r="J31" i="9"/>
  <c r="I31" i="9"/>
  <c r="F31" i="9"/>
  <c r="AL30" i="9"/>
  <c r="AO30" i="9" s="1"/>
  <c r="AF30" i="9"/>
  <c r="AC30" i="9"/>
  <c r="Y30" i="9"/>
  <c r="K30" i="9"/>
  <c r="M30" i="9" s="1"/>
  <c r="J30" i="9"/>
  <c r="I30" i="9"/>
  <c r="F30" i="9"/>
  <c r="AL29" i="9"/>
  <c r="AO29" i="9" s="1"/>
  <c r="AF29" i="9"/>
  <c r="AC29" i="9"/>
  <c r="Y29" i="9"/>
  <c r="K29" i="9"/>
  <c r="M29" i="9" s="1"/>
  <c r="J29" i="9"/>
  <c r="I29" i="9"/>
  <c r="F29" i="9"/>
  <c r="AL28" i="9"/>
  <c r="AO28" i="9" s="1"/>
  <c r="AF28" i="9"/>
  <c r="AJ28" i="9" s="1"/>
  <c r="AC28" i="9"/>
  <c r="Y28" i="9"/>
  <c r="K28" i="9"/>
  <c r="L28" i="9" s="1"/>
  <c r="J28" i="9"/>
  <c r="I28" i="9"/>
  <c r="F28" i="9"/>
  <c r="AL27" i="9"/>
  <c r="AO27" i="9" s="1"/>
  <c r="AF27" i="9"/>
  <c r="AC27" i="9"/>
  <c r="Y27" i="9"/>
  <c r="K27" i="9"/>
  <c r="L27" i="9" s="1"/>
  <c r="J27" i="9"/>
  <c r="I27" i="9"/>
  <c r="F27" i="9"/>
  <c r="AL26" i="9"/>
  <c r="AO26" i="9" s="1"/>
  <c r="AF26" i="9"/>
  <c r="AC26" i="9"/>
  <c r="Y26" i="9"/>
  <c r="K26" i="9"/>
  <c r="M26" i="9" s="1"/>
  <c r="J26" i="9"/>
  <c r="I26" i="9"/>
  <c r="F26" i="9"/>
  <c r="AL25" i="9"/>
  <c r="AO25" i="9" s="1"/>
  <c r="AF25" i="9"/>
  <c r="AJ25" i="9" s="1"/>
  <c r="AC25" i="9"/>
  <c r="Y25" i="9"/>
  <c r="K25" i="9"/>
  <c r="L25" i="9" s="1"/>
  <c r="J25" i="9"/>
  <c r="I25" i="9"/>
  <c r="F25" i="9"/>
  <c r="AL24" i="9"/>
  <c r="AO24" i="9" s="1"/>
  <c r="AF24" i="9"/>
  <c r="AC24" i="9"/>
  <c r="Y24" i="9"/>
  <c r="K24" i="9"/>
  <c r="M24" i="9" s="1"/>
  <c r="J24" i="9"/>
  <c r="I24" i="9"/>
  <c r="F24" i="9"/>
  <c r="AL23" i="9"/>
  <c r="AO23" i="9" s="1"/>
  <c r="AF23" i="9"/>
  <c r="AJ23" i="9" s="1"/>
  <c r="AC23" i="9"/>
  <c r="Y23" i="9"/>
  <c r="K23" i="9"/>
  <c r="M23" i="9" s="1"/>
  <c r="J23" i="9"/>
  <c r="I23" i="9"/>
  <c r="F23" i="9"/>
  <c r="AL22" i="9"/>
  <c r="AO22" i="9" s="1"/>
  <c r="AJ22" i="9"/>
  <c r="AC22" i="9"/>
  <c r="Y22" i="9"/>
  <c r="K22" i="9"/>
  <c r="L22" i="9" s="1"/>
  <c r="J22" i="9"/>
  <c r="I22" i="9"/>
  <c r="F22" i="9"/>
  <c r="AL21" i="9"/>
  <c r="AO21" i="9" s="1"/>
  <c r="AF21" i="9"/>
  <c r="AC21" i="9"/>
  <c r="Y21" i="9"/>
  <c r="K21" i="9"/>
  <c r="M21" i="9" s="1"/>
  <c r="J21" i="9"/>
  <c r="I21" i="9"/>
  <c r="F21" i="9"/>
  <c r="AL20" i="9"/>
  <c r="AO20" i="9" s="1"/>
  <c r="AF20" i="9"/>
  <c r="AJ20" i="9" s="1"/>
  <c r="AC20" i="9"/>
  <c r="Y20" i="9"/>
  <c r="K20" i="9"/>
  <c r="L20" i="9" s="1"/>
  <c r="J20" i="9"/>
  <c r="I20" i="9"/>
  <c r="F20" i="9"/>
  <c r="AL19" i="9"/>
  <c r="AO19" i="9" s="1"/>
  <c r="AF19" i="9"/>
  <c r="AJ19" i="9" s="1"/>
  <c r="AC19" i="9"/>
  <c r="Y19" i="9"/>
  <c r="K19" i="9"/>
  <c r="L19" i="9" s="1"/>
  <c r="J19" i="9"/>
  <c r="I19" i="9"/>
  <c r="F19" i="9"/>
  <c r="AL18" i="9"/>
  <c r="AO18" i="9" s="1"/>
  <c r="AF18" i="9"/>
  <c r="AC18" i="9"/>
  <c r="Y18" i="9"/>
  <c r="K18" i="9"/>
  <c r="L18" i="9" s="1"/>
  <c r="J18" i="9"/>
  <c r="I18" i="9"/>
  <c r="F18" i="9"/>
  <c r="AL17" i="9"/>
  <c r="AO17" i="9" s="1"/>
  <c r="AF17" i="9"/>
  <c r="AJ17" i="9" s="1"/>
  <c r="AC17" i="9"/>
  <c r="Y17" i="9"/>
  <c r="K17" i="9"/>
  <c r="M17" i="9" s="1"/>
  <c r="J17" i="9"/>
  <c r="I17" i="9"/>
  <c r="F17" i="9"/>
  <c r="AL16" i="9"/>
  <c r="AO16" i="9" s="1"/>
  <c r="AF16" i="9"/>
  <c r="AJ16" i="9" s="1"/>
  <c r="AC16" i="9"/>
  <c r="Y16" i="9"/>
  <c r="K16" i="9"/>
  <c r="L16" i="9" s="1"/>
  <c r="J16" i="9"/>
  <c r="I16" i="9"/>
  <c r="F16" i="9"/>
  <c r="AL15" i="9"/>
  <c r="AO15" i="9" s="1"/>
  <c r="AF15" i="9"/>
  <c r="AC15" i="9"/>
  <c r="Y15" i="9"/>
  <c r="K15" i="9"/>
  <c r="M15" i="9" s="1"/>
  <c r="J15" i="9"/>
  <c r="I15" i="9"/>
  <c r="F15" i="9"/>
  <c r="AL14" i="9"/>
  <c r="AO14" i="9" s="1"/>
  <c r="AF14" i="9"/>
  <c r="AJ14" i="9" s="1"/>
  <c r="AC14" i="9"/>
  <c r="Y14" i="9"/>
  <c r="K14" i="9"/>
  <c r="M14" i="9" s="1"/>
  <c r="J14" i="9"/>
  <c r="I14" i="9"/>
  <c r="F14" i="9"/>
  <c r="AL13" i="9"/>
  <c r="AO13" i="9" s="1"/>
  <c r="AF13" i="9"/>
  <c r="AJ13" i="9" s="1"/>
  <c r="AC13" i="9"/>
  <c r="Y13" i="9"/>
  <c r="K13" i="9"/>
  <c r="L13" i="9" s="1"/>
  <c r="J13" i="9"/>
  <c r="I13" i="9"/>
  <c r="F13" i="9"/>
  <c r="AL12" i="9"/>
  <c r="AO12" i="9" s="1"/>
  <c r="AF12" i="9"/>
  <c r="AJ12" i="9" s="1"/>
  <c r="AC12" i="9"/>
  <c r="Y12" i="9"/>
  <c r="K12" i="9"/>
  <c r="J12" i="9"/>
  <c r="I12" i="9"/>
  <c r="F12" i="9"/>
  <c r="AL11" i="9"/>
  <c r="AO11" i="9" s="1"/>
  <c r="AJ11" i="9"/>
  <c r="AC11" i="9"/>
  <c r="Y11" i="9"/>
  <c r="K11" i="9"/>
  <c r="M11" i="9" s="1"/>
  <c r="J11" i="9"/>
  <c r="I11" i="9"/>
  <c r="F11" i="9"/>
  <c r="AL10" i="9"/>
  <c r="AO10" i="9" s="1"/>
  <c r="AJ10" i="9"/>
  <c r="AC10" i="9"/>
  <c r="Y10" i="9"/>
  <c r="K10" i="9"/>
  <c r="J10" i="9"/>
  <c r="I10" i="9"/>
  <c r="F10" i="9"/>
  <c r="AL9" i="9"/>
  <c r="AO9" i="9" s="1"/>
  <c r="AF9" i="9"/>
  <c r="AJ9" i="9" s="1"/>
  <c r="AC9" i="9"/>
  <c r="Y9" i="9"/>
  <c r="K9" i="9"/>
  <c r="L9" i="9" s="1"/>
  <c r="J9" i="9"/>
  <c r="I9" i="9"/>
  <c r="F9" i="9"/>
  <c r="AL8" i="9"/>
  <c r="AO8" i="9" s="1"/>
  <c r="AF8" i="9"/>
  <c r="AJ8" i="9" s="1"/>
  <c r="AC8" i="9"/>
  <c r="Y8" i="9"/>
  <c r="K8" i="9"/>
  <c r="L8" i="9" s="1"/>
  <c r="J8" i="9"/>
  <c r="I8" i="9"/>
  <c r="F8" i="9"/>
  <c r="AL7" i="9"/>
  <c r="AO7" i="9" s="1"/>
  <c r="AF7" i="9"/>
  <c r="AC7" i="9"/>
  <c r="Y7" i="9"/>
  <c r="K7" i="9"/>
  <c r="L7" i="9" s="1"/>
  <c r="J7" i="9"/>
  <c r="I7" i="9"/>
  <c r="F7" i="9"/>
  <c r="AL6" i="9"/>
  <c r="AO6" i="9" s="1"/>
  <c r="AF6" i="9"/>
  <c r="AJ6" i="9" s="1"/>
  <c r="AC6" i="9"/>
  <c r="Y6" i="9"/>
  <c r="K6" i="9"/>
  <c r="M6" i="9" s="1"/>
  <c r="J6" i="9"/>
  <c r="I6" i="9"/>
  <c r="F6" i="9"/>
  <c r="AL5" i="9"/>
  <c r="AO5" i="9" s="1"/>
  <c r="AF5" i="9"/>
  <c r="AJ5" i="9" s="1"/>
  <c r="AC5" i="9"/>
  <c r="Y5" i="9"/>
  <c r="K5" i="9"/>
  <c r="M5" i="9" s="1"/>
  <c r="J5" i="9"/>
  <c r="I5" i="9"/>
  <c r="F5" i="9"/>
  <c r="AL4" i="9"/>
  <c r="AF4" i="9"/>
  <c r="AC4" i="9"/>
  <c r="Y4" i="9"/>
  <c r="K4" i="9"/>
  <c r="J4" i="9"/>
  <c r="I4" i="9"/>
  <c r="F4" i="9"/>
  <c r="K2" i="9"/>
  <c r="J2" i="9"/>
  <c r="Q77" i="7"/>
  <c r="P77" i="7"/>
  <c r="O77" i="7"/>
  <c r="N77" i="7"/>
  <c r="M77" i="7"/>
  <c r="H77" i="7"/>
  <c r="G77" i="7"/>
  <c r="B77" i="7"/>
  <c r="I76" i="7"/>
  <c r="J76" i="7" s="1"/>
  <c r="K76" i="7" s="1"/>
  <c r="L76" i="7" s="1"/>
  <c r="U76" i="7" s="1"/>
  <c r="E76" i="7"/>
  <c r="C76" i="7"/>
  <c r="D76" i="7" s="1"/>
  <c r="I75" i="7"/>
  <c r="J75" i="7" s="1"/>
  <c r="K75" i="7" s="1"/>
  <c r="L75" i="7" s="1"/>
  <c r="U75" i="7" s="1"/>
  <c r="E75" i="7"/>
  <c r="C75" i="7"/>
  <c r="D75" i="7" s="1"/>
  <c r="I74" i="7"/>
  <c r="J74" i="7" s="1"/>
  <c r="K74" i="7" s="1"/>
  <c r="L74" i="7" s="1"/>
  <c r="U74" i="7" s="1"/>
  <c r="E74" i="7"/>
  <c r="C74" i="7"/>
  <c r="D74" i="7" s="1"/>
  <c r="I73" i="7"/>
  <c r="J73" i="7" s="1"/>
  <c r="K73" i="7" s="1"/>
  <c r="L73" i="7" s="1"/>
  <c r="U73" i="7" s="1"/>
  <c r="E73" i="7"/>
  <c r="C73" i="7"/>
  <c r="D73" i="7" s="1"/>
  <c r="I72" i="7"/>
  <c r="J72" i="7" s="1"/>
  <c r="K72" i="7" s="1"/>
  <c r="L72" i="7" s="1"/>
  <c r="U72" i="7" s="1"/>
  <c r="E72" i="7"/>
  <c r="C72" i="7"/>
  <c r="D72" i="7" s="1"/>
  <c r="I71" i="7"/>
  <c r="J71" i="7" s="1"/>
  <c r="K71" i="7" s="1"/>
  <c r="L71" i="7" s="1"/>
  <c r="U71" i="7" s="1"/>
  <c r="E71" i="7"/>
  <c r="C71" i="7"/>
  <c r="D71" i="7" s="1"/>
  <c r="I70" i="7"/>
  <c r="J70" i="7" s="1"/>
  <c r="K70" i="7" s="1"/>
  <c r="L70" i="7" s="1"/>
  <c r="U70" i="7" s="1"/>
  <c r="E70" i="7"/>
  <c r="C70" i="7"/>
  <c r="D70" i="7" s="1"/>
  <c r="I69" i="7"/>
  <c r="J69" i="7" s="1"/>
  <c r="K69" i="7" s="1"/>
  <c r="L69" i="7" s="1"/>
  <c r="U69" i="7" s="1"/>
  <c r="E69" i="7"/>
  <c r="C69" i="7"/>
  <c r="D69" i="7" s="1"/>
  <c r="I68" i="7"/>
  <c r="J68" i="7" s="1"/>
  <c r="K68" i="7" s="1"/>
  <c r="L68" i="7" s="1"/>
  <c r="U68" i="7" s="1"/>
  <c r="E68" i="7"/>
  <c r="C68" i="7"/>
  <c r="D68" i="7" s="1"/>
  <c r="I67" i="7"/>
  <c r="J67" i="7" s="1"/>
  <c r="K67" i="7" s="1"/>
  <c r="L67" i="7" s="1"/>
  <c r="U67" i="7" s="1"/>
  <c r="E67" i="7"/>
  <c r="C67" i="7"/>
  <c r="D67" i="7" s="1"/>
  <c r="I66" i="7"/>
  <c r="J66" i="7" s="1"/>
  <c r="K66" i="7" s="1"/>
  <c r="L66" i="7" s="1"/>
  <c r="U66" i="7" s="1"/>
  <c r="E66" i="7"/>
  <c r="C66" i="7"/>
  <c r="D66" i="7" s="1"/>
  <c r="I65" i="7"/>
  <c r="J65" i="7" s="1"/>
  <c r="K65" i="7" s="1"/>
  <c r="L65" i="7" s="1"/>
  <c r="U65" i="7" s="1"/>
  <c r="E65" i="7"/>
  <c r="C65" i="7"/>
  <c r="D65" i="7" s="1"/>
  <c r="I64" i="7"/>
  <c r="J64" i="7" s="1"/>
  <c r="K64" i="7" s="1"/>
  <c r="L64" i="7" s="1"/>
  <c r="U64" i="7" s="1"/>
  <c r="E64" i="7"/>
  <c r="C64" i="7"/>
  <c r="D64" i="7" s="1"/>
  <c r="I63" i="7"/>
  <c r="J63" i="7" s="1"/>
  <c r="K63" i="7" s="1"/>
  <c r="L63" i="7" s="1"/>
  <c r="U63" i="7" s="1"/>
  <c r="E63" i="7"/>
  <c r="C63" i="7"/>
  <c r="D63" i="7" s="1"/>
  <c r="I62" i="7"/>
  <c r="J62" i="7" s="1"/>
  <c r="K62" i="7" s="1"/>
  <c r="L62" i="7" s="1"/>
  <c r="U62" i="7" s="1"/>
  <c r="E62" i="7"/>
  <c r="C62" i="7"/>
  <c r="D62" i="7" s="1"/>
  <c r="I61" i="7"/>
  <c r="J61" i="7" s="1"/>
  <c r="K61" i="7" s="1"/>
  <c r="L61" i="7" s="1"/>
  <c r="U61" i="7" s="1"/>
  <c r="E61" i="7"/>
  <c r="C61" i="7"/>
  <c r="D61" i="7" s="1"/>
  <c r="I60" i="7"/>
  <c r="J60" i="7" s="1"/>
  <c r="K60" i="7" s="1"/>
  <c r="L60" i="7" s="1"/>
  <c r="U60" i="7" s="1"/>
  <c r="E60" i="7"/>
  <c r="C60" i="7"/>
  <c r="D60" i="7" s="1"/>
  <c r="I59" i="7"/>
  <c r="J59" i="7" s="1"/>
  <c r="K59" i="7" s="1"/>
  <c r="L59" i="7" s="1"/>
  <c r="U59" i="7" s="1"/>
  <c r="E59" i="7"/>
  <c r="C59" i="7"/>
  <c r="D59" i="7" s="1"/>
  <c r="I58" i="7"/>
  <c r="J58" i="7" s="1"/>
  <c r="K58" i="7" s="1"/>
  <c r="L58" i="7" s="1"/>
  <c r="U58" i="7" s="1"/>
  <c r="E58" i="7"/>
  <c r="C58" i="7"/>
  <c r="D58" i="7" s="1"/>
  <c r="I57" i="7"/>
  <c r="J57" i="7" s="1"/>
  <c r="K57" i="7" s="1"/>
  <c r="L57" i="7" s="1"/>
  <c r="U57" i="7" s="1"/>
  <c r="E57" i="7"/>
  <c r="C57" i="7"/>
  <c r="D57" i="7" s="1"/>
  <c r="I56" i="7"/>
  <c r="J56" i="7" s="1"/>
  <c r="K56" i="7" s="1"/>
  <c r="L56" i="7" s="1"/>
  <c r="U56" i="7" s="1"/>
  <c r="E56" i="7"/>
  <c r="C56" i="7"/>
  <c r="D56" i="7" s="1"/>
  <c r="I55" i="7"/>
  <c r="J55" i="7" s="1"/>
  <c r="K55" i="7" s="1"/>
  <c r="L55" i="7" s="1"/>
  <c r="U55" i="7" s="1"/>
  <c r="E55" i="7"/>
  <c r="C55" i="7"/>
  <c r="D55" i="7" s="1"/>
  <c r="I54" i="7"/>
  <c r="J54" i="7" s="1"/>
  <c r="K54" i="7" s="1"/>
  <c r="L54" i="7" s="1"/>
  <c r="U54" i="7" s="1"/>
  <c r="E54" i="7"/>
  <c r="C54" i="7"/>
  <c r="D54" i="7" s="1"/>
  <c r="I53" i="7"/>
  <c r="J53" i="7" s="1"/>
  <c r="K53" i="7" s="1"/>
  <c r="L53" i="7" s="1"/>
  <c r="U53" i="7" s="1"/>
  <c r="E53" i="7"/>
  <c r="C53" i="7"/>
  <c r="D53" i="7" s="1"/>
  <c r="I52" i="7"/>
  <c r="J52" i="7" s="1"/>
  <c r="K52" i="7" s="1"/>
  <c r="L52" i="7" s="1"/>
  <c r="U52" i="7" s="1"/>
  <c r="E52" i="7"/>
  <c r="C52" i="7"/>
  <c r="D52" i="7" s="1"/>
  <c r="I51" i="7"/>
  <c r="J51" i="7" s="1"/>
  <c r="K51" i="7" s="1"/>
  <c r="L51" i="7" s="1"/>
  <c r="U51" i="7" s="1"/>
  <c r="E51" i="7"/>
  <c r="C51" i="7"/>
  <c r="D51" i="7" s="1"/>
  <c r="I50" i="7"/>
  <c r="J50" i="7" s="1"/>
  <c r="K50" i="7" s="1"/>
  <c r="L50" i="7" s="1"/>
  <c r="U50" i="7" s="1"/>
  <c r="E50" i="7"/>
  <c r="C50" i="7"/>
  <c r="D50" i="7" s="1"/>
  <c r="I49" i="7"/>
  <c r="J49" i="7" s="1"/>
  <c r="K49" i="7" s="1"/>
  <c r="L49" i="7" s="1"/>
  <c r="U49" i="7" s="1"/>
  <c r="E49" i="7"/>
  <c r="C49" i="7"/>
  <c r="D49" i="7" s="1"/>
  <c r="I48" i="7"/>
  <c r="J48" i="7" s="1"/>
  <c r="K48" i="7" s="1"/>
  <c r="L48" i="7" s="1"/>
  <c r="U48" i="7" s="1"/>
  <c r="E48" i="7"/>
  <c r="C48" i="7"/>
  <c r="D48" i="7" s="1"/>
  <c r="I47" i="7"/>
  <c r="J47" i="7" s="1"/>
  <c r="K47" i="7" s="1"/>
  <c r="L47" i="7" s="1"/>
  <c r="U47" i="7" s="1"/>
  <c r="E47" i="7"/>
  <c r="C47" i="7"/>
  <c r="D47" i="7" s="1"/>
  <c r="I46" i="7"/>
  <c r="J46" i="7" s="1"/>
  <c r="K46" i="7" s="1"/>
  <c r="L46" i="7" s="1"/>
  <c r="U46" i="7" s="1"/>
  <c r="E46" i="7"/>
  <c r="C46" i="7"/>
  <c r="D46" i="7" s="1"/>
  <c r="I45" i="7"/>
  <c r="J45" i="7" s="1"/>
  <c r="K45" i="7" s="1"/>
  <c r="L45" i="7" s="1"/>
  <c r="U45" i="7" s="1"/>
  <c r="E45" i="7"/>
  <c r="C45" i="7"/>
  <c r="D45" i="7" s="1"/>
  <c r="I44" i="7"/>
  <c r="J44" i="7" s="1"/>
  <c r="K44" i="7" s="1"/>
  <c r="L44" i="7" s="1"/>
  <c r="U44" i="7" s="1"/>
  <c r="E44" i="7"/>
  <c r="C44" i="7"/>
  <c r="D44" i="7" s="1"/>
  <c r="I43" i="7"/>
  <c r="J43" i="7" s="1"/>
  <c r="K43" i="7" s="1"/>
  <c r="L43" i="7" s="1"/>
  <c r="U43" i="7" s="1"/>
  <c r="E43" i="7"/>
  <c r="C43" i="7"/>
  <c r="D43" i="7" s="1"/>
  <c r="I42" i="7"/>
  <c r="J42" i="7" s="1"/>
  <c r="K42" i="7" s="1"/>
  <c r="L42" i="7" s="1"/>
  <c r="U42" i="7" s="1"/>
  <c r="E42" i="7"/>
  <c r="C42" i="7"/>
  <c r="D42" i="7" s="1"/>
  <c r="I41" i="7"/>
  <c r="J41" i="7" s="1"/>
  <c r="K41" i="7" s="1"/>
  <c r="L41" i="7" s="1"/>
  <c r="U41" i="7" s="1"/>
  <c r="E41" i="7"/>
  <c r="C41" i="7"/>
  <c r="D41" i="7" s="1"/>
  <c r="I40" i="7"/>
  <c r="J40" i="7" s="1"/>
  <c r="K40" i="7" s="1"/>
  <c r="L40" i="7" s="1"/>
  <c r="U40" i="7" s="1"/>
  <c r="E40" i="7"/>
  <c r="C40" i="7"/>
  <c r="D40" i="7" s="1"/>
  <c r="I39" i="7"/>
  <c r="J39" i="7" s="1"/>
  <c r="K39" i="7" s="1"/>
  <c r="L39" i="7" s="1"/>
  <c r="U39" i="7" s="1"/>
  <c r="E39" i="7"/>
  <c r="C39" i="7"/>
  <c r="D39" i="7" s="1"/>
  <c r="I38" i="7"/>
  <c r="J38" i="7" s="1"/>
  <c r="K38" i="7" s="1"/>
  <c r="L38" i="7" s="1"/>
  <c r="U38" i="7" s="1"/>
  <c r="E38" i="7"/>
  <c r="C38" i="7"/>
  <c r="D38" i="7" s="1"/>
  <c r="I37" i="7"/>
  <c r="J37" i="7" s="1"/>
  <c r="K37" i="7" s="1"/>
  <c r="L37" i="7" s="1"/>
  <c r="U37" i="7" s="1"/>
  <c r="E37" i="7"/>
  <c r="C37" i="7"/>
  <c r="D37" i="7" s="1"/>
  <c r="I36" i="7"/>
  <c r="J36" i="7" s="1"/>
  <c r="K36" i="7" s="1"/>
  <c r="L36" i="7" s="1"/>
  <c r="U36" i="7" s="1"/>
  <c r="E36" i="7"/>
  <c r="C36" i="7"/>
  <c r="D36" i="7" s="1"/>
  <c r="I35" i="7"/>
  <c r="J35" i="7" s="1"/>
  <c r="K35" i="7" s="1"/>
  <c r="L35" i="7" s="1"/>
  <c r="U35" i="7" s="1"/>
  <c r="E35" i="7"/>
  <c r="C35" i="7"/>
  <c r="D35" i="7" s="1"/>
  <c r="I34" i="7"/>
  <c r="J34" i="7" s="1"/>
  <c r="K34" i="7" s="1"/>
  <c r="L34" i="7" s="1"/>
  <c r="U34" i="7" s="1"/>
  <c r="E34" i="7"/>
  <c r="C34" i="7"/>
  <c r="D34" i="7" s="1"/>
  <c r="I33" i="7"/>
  <c r="J33" i="7" s="1"/>
  <c r="K33" i="7" s="1"/>
  <c r="L33" i="7" s="1"/>
  <c r="U33" i="7" s="1"/>
  <c r="E33" i="7"/>
  <c r="C33" i="7"/>
  <c r="D33" i="7" s="1"/>
  <c r="I32" i="7"/>
  <c r="J32" i="7" s="1"/>
  <c r="K32" i="7" s="1"/>
  <c r="L32" i="7" s="1"/>
  <c r="U32" i="7" s="1"/>
  <c r="E32" i="7"/>
  <c r="C32" i="7"/>
  <c r="D32" i="7" s="1"/>
  <c r="I31" i="7"/>
  <c r="J31" i="7" s="1"/>
  <c r="K31" i="7" s="1"/>
  <c r="L31" i="7" s="1"/>
  <c r="U31" i="7" s="1"/>
  <c r="E31" i="7"/>
  <c r="C31" i="7"/>
  <c r="D31" i="7" s="1"/>
  <c r="I30" i="7"/>
  <c r="J30" i="7" s="1"/>
  <c r="K30" i="7" s="1"/>
  <c r="L30" i="7" s="1"/>
  <c r="U30" i="7" s="1"/>
  <c r="E30" i="7"/>
  <c r="C30" i="7"/>
  <c r="D30" i="7" s="1"/>
  <c r="I29" i="7"/>
  <c r="J29" i="7" s="1"/>
  <c r="K29" i="7" s="1"/>
  <c r="L29" i="7" s="1"/>
  <c r="U29" i="7" s="1"/>
  <c r="E29" i="7"/>
  <c r="C29" i="7"/>
  <c r="D29" i="7" s="1"/>
  <c r="I28" i="7"/>
  <c r="J28" i="7" s="1"/>
  <c r="K28" i="7" s="1"/>
  <c r="L28" i="7" s="1"/>
  <c r="U28" i="7" s="1"/>
  <c r="E28" i="7"/>
  <c r="C28" i="7"/>
  <c r="D28" i="7" s="1"/>
  <c r="I27" i="7"/>
  <c r="J27" i="7" s="1"/>
  <c r="K27" i="7" s="1"/>
  <c r="L27" i="7" s="1"/>
  <c r="U27" i="7" s="1"/>
  <c r="E27" i="7"/>
  <c r="C27" i="7"/>
  <c r="D27" i="7" s="1"/>
  <c r="I26" i="7"/>
  <c r="J26" i="7" s="1"/>
  <c r="K26" i="7" s="1"/>
  <c r="L26" i="7" s="1"/>
  <c r="U26" i="7" s="1"/>
  <c r="E26" i="7"/>
  <c r="C26" i="7"/>
  <c r="D26" i="7" s="1"/>
  <c r="I25" i="7"/>
  <c r="J25" i="7" s="1"/>
  <c r="K25" i="7" s="1"/>
  <c r="L25" i="7" s="1"/>
  <c r="U25" i="7" s="1"/>
  <c r="E25" i="7"/>
  <c r="C25" i="7"/>
  <c r="D25" i="7" s="1"/>
  <c r="I24" i="7"/>
  <c r="J24" i="7" s="1"/>
  <c r="K24" i="7" s="1"/>
  <c r="L24" i="7" s="1"/>
  <c r="U24" i="7" s="1"/>
  <c r="E24" i="7"/>
  <c r="C24" i="7"/>
  <c r="D24" i="7" s="1"/>
  <c r="I23" i="7"/>
  <c r="J23" i="7" s="1"/>
  <c r="K23" i="7" s="1"/>
  <c r="L23" i="7" s="1"/>
  <c r="U23" i="7" s="1"/>
  <c r="E23" i="7"/>
  <c r="C23" i="7"/>
  <c r="D23" i="7" s="1"/>
  <c r="I22" i="7"/>
  <c r="J22" i="7" s="1"/>
  <c r="K22" i="7" s="1"/>
  <c r="L22" i="7" s="1"/>
  <c r="U22" i="7" s="1"/>
  <c r="E22" i="7"/>
  <c r="C22" i="7"/>
  <c r="D22" i="7" s="1"/>
  <c r="I21" i="7"/>
  <c r="J21" i="7" s="1"/>
  <c r="K21" i="7" s="1"/>
  <c r="L21" i="7" s="1"/>
  <c r="U21" i="7" s="1"/>
  <c r="E21" i="7"/>
  <c r="C21" i="7"/>
  <c r="D21" i="7" s="1"/>
  <c r="I20" i="7"/>
  <c r="J20" i="7" s="1"/>
  <c r="K20" i="7" s="1"/>
  <c r="L20" i="7" s="1"/>
  <c r="U20" i="7" s="1"/>
  <c r="E20" i="7"/>
  <c r="C20" i="7"/>
  <c r="D20" i="7" s="1"/>
  <c r="I19" i="7"/>
  <c r="J19" i="7" s="1"/>
  <c r="K19" i="7" s="1"/>
  <c r="L19" i="7" s="1"/>
  <c r="U19" i="7" s="1"/>
  <c r="E19" i="7"/>
  <c r="C19" i="7"/>
  <c r="D19" i="7" s="1"/>
  <c r="I18" i="7"/>
  <c r="J18" i="7" s="1"/>
  <c r="K18" i="7" s="1"/>
  <c r="L18" i="7" s="1"/>
  <c r="U18" i="7" s="1"/>
  <c r="E18" i="7"/>
  <c r="C18" i="7"/>
  <c r="D18" i="7" s="1"/>
  <c r="I17" i="7"/>
  <c r="J17" i="7" s="1"/>
  <c r="K17" i="7" s="1"/>
  <c r="L17" i="7" s="1"/>
  <c r="U17" i="7" s="1"/>
  <c r="E17" i="7"/>
  <c r="C17" i="7"/>
  <c r="D17" i="7" s="1"/>
  <c r="I16" i="7"/>
  <c r="J16" i="7" s="1"/>
  <c r="K16" i="7" s="1"/>
  <c r="L16" i="7" s="1"/>
  <c r="U16" i="7" s="1"/>
  <c r="E16" i="7"/>
  <c r="C16" i="7"/>
  <c r="D16" i="7" s="1"/>
  <c r="I15" i="7"/>
  <c r="J15" i="7" s="1"/>
  <c r="K15" i="7" s="1"/>
  <c r="L15" i="7" s="1"/>
  <c r="U15" i="7" s="1"/>
  <c r="E15" i="7"/>
  <c r="C15" i="7"/>
  <c r="D15" i="7" s="1"/>
  <c r="I14" i="7"/>
  <c r="J14" i="7" s="1"/>
  <c r="K14" i="7" s="1"/>
  <c r="L14" i="7" s="1"/>
  <c r="U14" i="7" s="1"/>
  <c r="E14" i="7"/>
  <c r="C14" i="7"/>
  <c r="D14" i="7" s="1"/>
  <c r="I13" i="7"/>
  <c r="J13" i="7" s="1"/>
  <c r="K13" i="7" s="1"/>
  <c r="L13" i="7" s="1"/>
  <c r="U13" i="7" s="1"/>
  <c r="E13" i="7"/>
  <c r="C13" i="7"/>
  <c r="D13" i="7" s="1"/>
  <c r="I12" i="7"/>
  <c r="J12" i="7" s="1"/>
  <c r="K12" i="7" s="1"/>
  <c r="L12" i="7" s="1"/>
  <c r="U12" i="7" s="1"/>
  <c r="E12" i="7"/>
  <c r="C12" i="7"/>
  <c r="D12" i="7" s="1"/>
  <c r="I11" i="7"/>
  <c r="J11" i="7" s="1"/>
  <c r="K11" i="7" s="1"/>
  <c r="L11" i="7" s="1"/>
  <c r="U11" i="7" s="1"/>
  <c r="E11" i="7"/>
  <c r="C11" i="7"/>
  <c r="D11" i="7" s="1"/>
  <c r="I10" i="7"/>
  <c r="J10" i="7" s="1"/>
  <c r="K10" i="7" s="1"/>
  <c r="L10" i="7" s="1"/>
  <c r="U10" i="7" s="1"/>
  <c r="E10" i="7"/>
  <c r="C10" i="7"/>
  <c r="D10" i="7" s="1"/>
  <c r="I9" i="7"/>
  <c r="J9" i="7" s="1"/>
  <c r="K9" i="7" s="1"/>
  <c r="L9" i="7" s="1"/>
  <c r="U9" i="7" s="1"/>
  <c r="E9" i="7"/>
  <c r="C9" i="7"/>
  <c r="D9" i="7" s="1"/>
  <c r="I8" i="7"/>
  <c r="J8" i="7" s="1"/>
  <c r="K8" i="7" s="1"/>
  <c r="L8" i="7" s="1"/>
  <c r="U8" i="7" s="1"/>
  <c r="E8" i="7"/>
  <c r="C8" i="7"/>
  <c r="D8" i="7" s="1"/>
  <c r="I7" i="7"/>
  <c r="J7" i="7" s="1"/>
  <c r="K7" i="7" s="1"/>
  <c r="L7" i="7" s="1"/>
  <c r="U7" i="7" s="1"/>
  <c r="E7" i="7"/>
  <c r="C7" i="7"/>
  <c r="D7" i="7" s="1"/>
  <c r="I6" i="7"/>
  <c r="J6" i="7" s="1"/>
  <c r="K6" i="7" s="1"/>
  <c r="L6" i="7" s="1"/>
  <c r="U6" i="7" s="1"/>
  <c r="E6" i="7"/>
  <c r="C6" i="7"/>
  <c r="D6" i="7" s="1"/>
  <c r="I5" i="7"/>
  <c r="E5" i="7"/>
  <c r="C5" i="7"/>
  <c r="D5" i="7" s="1"/>
  <c r="H79" i="6"/>
  <c r="G79" i="6"/>
  <c r="B79" i="6"/>
  <c r="I78" i="6"/>
  <c r="E78" i="6"/>
  <c r="C78" i="6"/>
  <c r="D78" i="6" s="1"/>
  <c r="I77" i="6"/>
  <c r="J77" i="6" s="1"/>
  <c r="E77" i="6"/>
  <c r="C77" i="6"/>
  <c r="D77" i="6" s="1"/>
  <c r="I76" i="6"/>
  <c r="J76" i="6" s="1"/>
  <c r="K76" i="6" s="1"/>
  <c r="L76" i="6" s="1"/>
  <c r="E76" i="6"/>
  <c r="C76" i="6"/>
  <c r="D76" i="6" s="1"/>
  <c r="I75" i="6"/>
  <c r="J75" i="6" s="1"/>
  <c r="K75" i="6" s="1"/>
  <c r="L75" i="6" s="1"/>
  <c r="E75" i="6"/>
  <c r="C75" i="6"/>
  <c r="D75" i="6" s="1"/>
  <c r="I74" i="6"/>
  <c r="E74" i="6"/>
  <c r="C74" i="6"/>
  <c r="D74" i="6" s="1"/>
  <c r="I73" i="6"/>
  <c r="J73" i="6" s="1"/>
  <c r="E73" i="6"/>
  <c r="C73" i="6"/>
  <c r="D73" i="6" s="1"/>
  <c r="I72" i="6"/>
  <c r="J72" i="6" s="1"/>
  <c r="K72" i="6" s="1"/>
  <c r="L72" i="6" s="1"/>
  <c r="E72" i="6"/>
  <c r="C72" i="6"/>
  <c r="D72" i="6" s="1"/>
  <c r="I71" i="6"/>
  <c r="J71" i="6" s="1"/>
  <c r="K71" i="6" s="1"/>
  <c r="L71" i="6" s="1"/>
  <c r="E71" i="6"/>
  <c r="C71" i="6"/>
  <c r="D71" i="6" s="1"/>
  <c r="I70" i="6"/>
  <c r="E70" i="6"/>
  <c r="C70" i="6"/>
  <c r="D70" i="6" s="1"/>
  <c r="I69" i="6"/>
  <c r="J69" i="6" s="1"/>
  <c r="E69" i="6"/>
  <c r="C69" i="6"/>
  <c r="D69" i="6" s="1"/>
  <c r="I68" i="6"/>
  <c r="J68" i="6" s="1"/>
  <c r="K68" i="6" s="1"/>
  <c r="L68" i="6" s="1"/>
  <c r="E68" i="6"/>
  <c r="C68" i="6"/>
  <c r="D68" i="6" s="1"/>
  <c r="I67" i="6"/>
  <c r="J67" i="6" s="1"/>
  <c r="K67" i="6" s="1"/>
  <c r="L67" i="6" s="1"/>
  <c r="E67" i="6"/>
  <c r="C67" i="6"/>
  <c r="D67" i="6" s="1"/>
  <c r="I66" i="6"/>
  <c r="E66" i="6"/>
  <c r="C66" i="6"/>
  <c r="D66" i="6" s="1"/>
  <c r="I65" i="6"/>
  <c r="J65" i="6" s="1"/>
  <c r="E65" i="6"/>
  <c r="C65" i="6"/>
  <c r="D65" i="6" s="1"/>
  <c r="I64" i="6"/>
  <c r="J64" i="6" s="1"/>
  <c r="K64" i="6" s="1"/>
  <c r="L64" i="6" s="1"/>
  <c r="E64" i="6"/>
  <c r="C64" i="6"/>
  <c r="D64" i="6" s="1"/>
  <c r="I63" i="6"/>
  <c r="J63" i="6" s="1"/>
  <c r="K63" i="6" s="1"/>
  <c r="L63" i="6" s="1"/>
  <c r="E63" i="6"/>
  <c r="C63" i="6"/>
  <c r="D63" i="6" s="1"/>
  <c r="I62" i="6"/>
  <c r="E62" i="6"/>
  <c r="C62" i="6"/>
  <c r="D62" i="6" s="1"/>
  <c r="I61" i="6"/>
  <c r="J61" i="6" s="1"/>
  <c r="E61" i="6"/>
  <c r="C61" i="6"/>
  <c r="D61" i="6" s="1"/>
  <c r="I60" i="6"/>
  <c r="J60" i="6" s="1"/>
  <c r="K60" i="6" s="1"/>
  <c r="L60" i="6" s="1"/>
  <c r="E60" i="6"/>
  <c r="C60" i="6"/>
  <c r="D60" i="6" s="1"/>
  <c r="I59" i="6"/>
  <c r="J59" i="6" s="1"/>
  <c r="K59" i="6" s="1"/>
  <c r="L59" i="6" s="1"/>
  <c r="E59" i="6"/>
  <c r="C59" i="6"/>
  <c r="D59" i="6" s="1"/>
  <c r="I58" i="6"/>
  <c r="E58" i="6"/>
  <c r="C58" i="6"/>
  <c r="D58" i="6" s="1"/>
  <c r="I57" i="6"/>
  <c r="J57" i="6" s="1"/>
  <c r="E57" i="6"/>
  <c r="C57" i="6"/>
  <c r="D57" i="6" s="1"/>
  <c r="I56" i="6"/>
  <c r="J56" i="6" s="1"/>
  <c r="E56" i="6"/>
  <c r="C56" i="6"/>
  <c r="D56" i="6" s="1"/>
  <c r="I55" i="6"/>
  <c r="J55" i="6" s="1"/>
  <c r="K55" i="6" s="1"/>
  <c r="L55" i="6" s="1"/>
  <c r="E55" i="6"/>
  <c r="C55" i="6"/>
  <c r="D55" i="6" s="1"/>
  <c r="I54" i="6"/>
  <c r="E54" i="6"/>
  <c r="C54" i="6"/>
  <c r="D54" i="6" s="1"/>
  <c r="I53" i="6"/>
  <c r="J53" i="6" s="1"/>
  <c r="E53" i="6"/>
  <c r="C53" i="6"/>
  <c r="D53" i="6" s="1"/>
  <c r="I52" i="6"/>
  <c r="J52" i="6" s="1"/>
  <c r="E52" i="6"/>
  <c r="C52" i="6"/>
  <c r="D52" i="6" s="1"/>
  <c r="I51" i="6"/>
  <c r="J51" i="6" s="1"/>
  <c r="K51" i="6" s="1"/>
  <c r="L51" i="6" s="1"/>
  <c r="E51" i="6"/>
  <c r="C51" i="6"/>
  <c r="D51" i="6" s="1"/>
  <c r="I50" i="6"/>
  <c r="E50" i="6"/>
  <c r="C50" i="6"/>
  <c r="D50" i="6" s="1"/>
  <c r="I49" i="6"/>
  <c r="J49" i="6" s="1"/>
  <c r="E49" i="6"/>
  <c r="C49" i="6"/>
  <c r="D49" i="6" s="1"/>
  <c r="I48" i="6"/>
  <c r="J48" i="6" s="1"/>
  <c r="E48" i="6"/>
  <c r="C48" i="6"/>
  <c r="D48" i="6" s="1"/>
  <c r="I47" i="6"/>
  <c r="J47" i="6" s="1"/>
  <c r="K47" i="6" s="1"/>
  <c r="L47" i="6" s="1"/>
  <c r="E47" i="6"/>
  <c r="C47" i="6"/>
  <c r="D47" i="6" s="1"/>
  <c r="I46" i="6"/>
  <c r="E46" i="6"/>
  <c r="C46" i="6"/>
  <c r="D46" i="6" s="1"/>
  <c r="I45" i="6"/>
  <c r="J45" i="6" s="1"/>
  <c r="E45" i="6"/>
  <c r="C45" i="6"/>
  <c r="D45" i="6" s="1"/>
  <c r="I44" i="6"/>
  <c r="J44" i="6" s="1"/>
  <c r="E44" i="6"/>
  <c r="C44" i="6"/>
  <c r="D44" i="6" s="1"/>
  <c r="I43" i="6"/>
  <c r="J43" i="6" s="1"/>
  <c r="K43" i="6" s="1"/>
  <c r="L43" i="6" s="1"/>
  <c r="E43" i="6"/>
  <c r="C43" i="6"/>
  <c r="D43" i="6" s="1"/>
  <c r="I42" i="6"/>
  <c r="E42" i="6"/>
  <c r="C42" i="6"/>
  <c r="D42" i="6" s="1"/>
  <c r="I41" i="6"/>
  <c r="J41" i="6" s="1"/>
  <c r="E41" i="6"/>
  <c r="C41" i="6"/>
  <c r="D41" i="6" s="1"/>
  <c r="I40" i="6"/>
  <c r="J40" i="6" s="1"/>
  <c r="E40" i="6"/>
  <c r="C40" i="6"/>
  <c r="D40" i="6" s="1"/>
  <c r="I39" i="6"/>
  <c r="J39" i="6" s="1"/>
  <c r="K39" i="6" s="1"/>
  <c r="L39" i="6" s="1"/>
  <c r="E39" i="6"/>
  <c r="C39" i="6"/>
  <c r="D39" i="6" s="1"/>
  <c r="I38" i="6"/>
  <c r="E38" i="6"/>
  <c r="C38" i="6"/>
  <c r="D38" i="6" s="1"/>
  <c r="I37" i="6"/>
  <c r="J37" i="6" s="1"/>
  <c r="E37" i="6"/>
  <c r="C37" i="6"/>
  <c r="D37" i="6" s="1"/>
  <c r="I36" i="6"/>
  <c r="J36" i="6" s="1"/>
  <c r="E36" i="6"/>
  <c r="C36" i="6"/>
  <c r="D36" i="6" s="1"/>
  <c r="I35" i="6"/>
  <c r="J35" i="6" s="1"/>
  <c r="K35" i="6" s="1"/>
  <c r="L35" i="6" s="1"/>
  <c r="E35" i="6"/>
  <c r="C35" i="6"/>
  <c r="D35" i="6" s="1"/>
  <c r="I34" i="6"/>
  <c r="E34" i="6"/>
  <c r="C34" i="6"/>
  <c r="D34" i="6" s="1"/>
  <c r="I33" i="6"/>
  <c r="J33" i="6" s="1"/>
  <c r="E33" i="6"/>
  <c r="C33" i="6"/>
  <c r="D33" i="6" s="1"/>
  <c r="I32" i="6"/>
  <c r="J32" i="6" s="1"/>
  <c r="E32" i="6"/>
  <c r="C32" i="6"/>
  <c r="D32" i="6" s="1"/>
  <c r="I31" i="6"/>
  <c r="J31" i="6" s="1"/>
  <c r="K31" i="6" s="1"/>
  <c r="L31" i="6" s="1"/>
  <c r="E31" i="6"/>
  <c r="C31" i="6"/>
  <c r="D31" i="6" s="1"/>
  <c r="I30" i="6"/>
  <c r="E30" i="6"/>
  <c r="C30" i="6"/>
  <c r="D30" i="6" s="1"/>
  <c r="I29" i="6"/>
  <c r="J29" i="6" s="1"/>
  <c r="E29" i="6"/>
  <c r="C29" i="6"/>
  <c r="D29" i="6" s="1"/>
  <c r="I28" i="6"/>
  <c r="J28" i="6" s="1"/>
  <c r="E28" i="6"/>
  <c r="C28" i="6"/>
  <c r="D28" i="6" s="1"/>
  <c r="I27" i="6"/>
  <c r="J27" i="6" s="1"/>
  <c r="K27" i="6" s="1"/>
  <c r="L27" i="6" s="1"/>
  <c r="E27" i="6"/>
  <c r="C27" i="6"/>
  <c r="D27" i="6" s="1"/>
  <c r="I26" i="6"/>
  <c r="E26" i="6"/>
  <c r="C26" i="6"/>
  <c r="D26" i="6" s="1"/>
  <c r="I25" i="6"/>
  <c r="J25" i="6" s="1"/>
  <c r="E25" i="6"/>
  <c r="C25" i="6"/>
  <c r="D25" i="6" s="1"/>
  <c r="I24" i="6"/>
  <c r="J24" i="6" s="1"/>
  <c r="E24" i="6"/>
  <c r="C24" i="6"/>
  <c r="D24" i="6" s="1"/>
  <c r="I23" i="6"/>
  <c r="J23" i="6" s="1"/>
  <c r="K23" i="6" s="1"/>
  <c r="L23" i="6" s="1"/>
  <c r="E23" i="6"/>
  <c r="C23" i="6"/>
  <c r="D23" i="6" s="1"/>
  <c r="I22" i="6"/>
  <c r="E22" i="6"/>
  <c r="C22" i="6"/>
  <c r="D22" i="6" s="1"/>
  <c r="I21" i="6"/>
  <c r="J21" i="6" s="1"/>
  <c r="E21" i="6"/>
  <c r="C21" i="6"/>
  <c r="D21" i="6" s="1"/>
  <c r="I20" i="6"/>
  <c r="J20" i="6" s="1"/>
  <c r="E20" i="6"/>
  <c r="C20" i="6"/>
  <c r="D20" i="6" s="1"/>
  <c r="I19" i="6"/>
  <c r="J19" i="6" s="1"/>
  <c r="K19" i="6" s="1"/>
  <c r="L19" i="6" s="1"/>
  <c r="E19" i="6"/>
  <c r="C19" i="6"/>
  <c r="D19" i="6" s="1"/>
  <c r="I18" i="6"/>
  <c r="E18" i="6"/>
  <c r="C18" i="6"/>
  <c r="D18" i="6" s="1"/>
  <c r="I17" i="6"/>
  <c r="J17" i="6" s="1"/>
  <c r="E17" i="6"/>
  <c r="C17" i="6"/>
  <c r="D17" i="6" s="1"/>
  <c r="I16" i="6"/>
  <c r="J16" i="6" s="1"/>
  <c r="E16" i="6"/>
  <c r="C16" i="6"/>
  <c r="D16" i="6" s="1"/>
  <c r="I15" i="6"/>
  <c r="J15" i="6" s="1"/>
  <c r="K15" i="6" s="1"/>
  <c r="L15" i="6" s="1"/>
  <c r="E15" i="6"/>
  <c r="C15" i="6"/>
  <c r="D15" i="6" s="1"/>
  <c r="I14" i="6"/>
  <c r="E14" i="6"/>
  <c r="C14" i="6"/>
  <c r="D14" i="6" s="1"/>
  <c r="I13" i="6"/>
  <c r="J13" i="6" s="1"/>
  <c r="E13" i="6"/>
  <c r="C13" i="6"/>
  <c r="D13" i="6" s="1"/>
  <c r="I12" i="6"/>
  <c r="J12" i="6" s="1"/>
  <c r="E12" i="6"/>
  <c r="C12" i="6"/>
  <c r="D12" i="6" s="1"/>
  <c r="I11" i="6"/>
  <c r="J11" i="6" s="1"/>
  <c r="K11" i="6" s="1"/>
  <c r="L11" i="6" s="1"/>
  <c r="E11" i="6"/>
  <c r="C11" i="6"/>
  <c r="D11" i="6" s="1"/>
  <c r="I10" i="6"/>
  <c r="E10" i="6"/>
  <c r="C10" i="6"/>
  <c r="D10" i="6" s="1"/>
  <c r="I9" i="6"/>
  <c r="J9" i="6" s="1"/>
  <c r="E9" i="6"/>
  <c r="C9" i="6"/>
  <c r="D9" i="6" s="1"/>
  <c r="I8" i="6"/>
  <c r="J8" i="6" s="1"/>
  <c r="E8" i="6"/>
  <c r="C8" i="6"/>
  <c r="D8" i="6" s="1"/>
  <c r="I7" i="6"/>
  <c r="J7" i="6" s="1"/>
  <c r="K7" i="6" s="1"/>
  <c r="L7" i="6" s="1"/>
  <c r="E7" i="6"/>
  <c r="C7" i="6"/>
  <c r="D7" i="6" s="1"/>
  <c r="I6" i="6"/>
  <c r="E6" i="6"/>
  <c r="C6" i="6"/>
  <c r="D6" i="6" s="1"/>
  <c r="I5" i="6"/>
  <c r="E5" i="6"/>
  <c r="C5" i="6"/>
  <c r="E76" i="5"/>
  <c r="D76" i="5"/>
  <c r="C76" i="5"/>
  <c r="F75" i="5"/>
  <c r="G75" i="5" s="1"/>
  <c r="F74" i="5"/>
  <c r="G74" i="5" s="1"/>
  <c r="F73" i="5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2" i="5"/>
  <c r="G62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F4" i="5"/>
  <c r="G4" i="5" s="1"/>
  <c r="G2" i="5"/>
  <c r="H47" i="5" s="1"/>
  <c r="F2" i="5"/>
  <c r="I73" i="5" s="1"/>
  <c r="E75" i="18"/>
  <c r="D75" i="18"/>
  <c r="C75" i="18"/>
  <c r="F74" i="18"/>
  <c r="G74" i="18" s="1"/>
  <c r="F73" i="18"/>
  <c r="F72" i="18"/>
  <c r="F71" i="18"/>
  <c r="G71" i="18" s="1"/>
  <c r="F70" i="18"/>
  <c r="F69" i="18"/>
  <c r="G69" i="18" s="1"/>
  <c r="F68" i="18"/>
  <c r="F67" i="18"/>
  <c r="F66" i="18"/>
  <c r="G66" i="18" s="1"/>
  <c r="F65" i="18"/>
  <c r="G65" i="18" s="1"/>
  <c r="F64" i="18"/>
  <c r="G64" i="18" s="1"/>
  <c r="F63" i="18"/>
  <c r="F62" i="18"/>
  <c r="G62" i="18" s="1"/>
  <c r="F61" i="18"/>
  <c r="G61" i="18" s="1"/>
  <c r="F60" i="18"/>
  <c r="G60" i="18" s="1"/>
  <c r="F59" i="18"/>
  <c r="F58" i="18"/>
  <c r="G58" i="18" s="1"/>
  <c r="F57" i="18"/>
  <c r="G57" i="18" s="1"/>
  <c r="F56" i="18"/>
  <c r="G56" i="18" s="1"/>
  <c r="F55" i="18"/>
  <c r="G55" i="18" s="1"/>
  <c r="F54" i="18"/>
  <c r="G54" i="18" s="1"/>
  <c r="F53" i="18"/>
  <c r="F52" i="18"/>
  <c r="G52" i="18" s="1"/>
  <c r="F51" i="18"/>
  <c r="G51" i="18" s="1"/>
  <c r="F50" i="18"/>
  <c r="F49" i="18"/>
  <c r="G49" i="18" s="1"/>
  <c r="F48" i="18"/>
  <c r="F47" i="18"/>
  <c r="F46" i="18"/>
  <c r="F45" i="18"/>
  <c r="F44" i="18"/>
  <c r="G44" i="18" s="1"/>
  <c r="F43" i="18"/>
  <c r="G43" i="18" s="1"/>
  <c r="F42" i="18"/>
  <c r="G42" i="18" s="1"/>
  <c r="F41" i="18"/>
  <c r="F40" i="18"/>
  <c r="F39" i="18"/>
  <c r="G39" i="18" s="1"/>
  <c r="F38" i="18"/>
  <c r="G38" i="18" s="1"/>
  <c r="F37" i="18"/>
  <c r="G37" i="18" s="1"/>
  <c r="F36" i="18"/>
  <c r="G36" i="18" s="1"/>
  <c r="F35" i="18"/>
  <c r="G35" i="18" s="1"/>
  <c r="F34" i="18"/>
  <c r="G34" i="18" s="1"/>
  <c r="F33" i="18"/>
  <c r="G33" i="18" s="1"/>
  <c r="F32" i="18"/>
  <c r="F31" i="18"/>
  <c r="G31" i="18" s="1"/>
  <c r="F30" i="18"/>
  <c r="G30" i="18" s="1"/>
  <c r="F29" i="18"/>
  <c r="G29" i="18" s="1"/>
  <c r="F28" i="18"/>
  <c r="G28" i="18" s="1"/>
  <c r="F27" i="18"/>
  <c r="F26" i="18"/>
  <c r="F25" i="18"/>
  <c r="G25" i="18" s="1"/>
  <c r="F24" i="18"/>
  <c r="G24" i="18" s="1"/>
  <c r="F23" i="18"/>
  <c r="G23" i="18" s="1"/>
  <c r="F22" i="18"/>
  <c r="G22" i="18" s="1"/>
  <c r="F21" i="18"/>
  <c r="F20" i="18"/>
  <c r="G20" i="18" s="1"/>
  <c r="F19" i="18"/>
  <c r="G19" i="18" s="1"/>
  <c r="F18" i="18"/>
  <c r="G18" i="18" s="1"/>
  <c r="F17" i="18"/>
  <c r="F16" i="18"/>
  <c r="F15" i="18"/>
  <c r="G15" i="18" s="1"/>
  <c r="F14" i="18"/>
  <c r="F13" i="18"/>
  <c r="F12" i="18"/>
  <c r="G12" i="18" s="1"/>
  <c r="F11" i="18"/>
  <c r="G11" i="18" s="1"/>
  <c r="F10" i="18"/>
  <c r="G10" i="18" s="1"/>
  <c r="F9" i="18"/>
  <c r="F8" i="18"/>
  <c r="G8" i="18" s="1"/>
  <c r="F7" i="18"/>
  <c r="G7" i="18" s="1"/>
  <c r="F6" i="18"/>
  <c r="G6" i="18" s="1"/>
  <c r="F5" i="18"/>
  <c r="G5" i="18" s="1"/>
  <c r="F4" i="18"/>
  <c r="G4" i="18" s="1"/>
  <c r="G2" i="18"/>
  <c r="H74" i="18" s="1"/>
  <c r="F2" i="18"/>
  <c r="I73" i="18" s="1"/>
  <c r="R30" i="12" l="1"/>
  <c r="S30" i="12" s="1"/>
  <c r="R67" i="12"/>
  <c r="R68" i="12"/>
  <c r="R34" i="12"/>
  <c r="R6" i="12"/>
  <c r="R38" i="12"/>
  <c r="R71" i="12"/>
  <c r="S71" i="12" s="1"/>
  <c r="T71" i="12" s="1"/>
  <c r="R10" i="12"/>
  <c r="R42" i="12"/>
  <c r="R18" i="12"/>
  <c r="R50" i="12"/>
  <c r="R22" i="12"/>
  <c r="R54" i="12"/>
  <c r="S4" i="28"/>
  <c r="Q4" i="28"/>
  <c r="L6" i="28"/>
  <c r="Q6" i="28" s="1"/>
  <c r="Q44" i="28"/>
  <c r="C44" i="28" s="1"/>
  <c r="R44" i="28" s="1"/>
  <c r="C10" i="28"/>
  <c r="R10" i="28" s="1"/>
  <c r="C11" i="28"/>
  <c r="R11" i="28" s="1"/>
  <c r="C25" i="28"/>
  <c r="R25" i="28" s="1"/>
  <c r="C29" i="28"/>
  <c r="R29" i="28" s="1"/>
  <c r="C58" i="28"/>
  <c r="R58" i="28" s="1"/>
  <c r="C42" i="28"/>
  <c r="R42" i="28" s="1"/>
  <c r="C24" i="28"/>
  <c r="R24" i="28" s="1"/>
  <c r="C55" i="28"/>
  <c r="R55" i="28" s="1"/>
  <c r="C9" i="28"/>
  <c r="R9" i="28" s="1"/>
  <c r="C18" i="28"/>
  <c r="R18" i="28" s="1"/>
  <c r="C34" i="28"/>
  <c r="R34" i="28" s="1"/>
  <c r="C17" i="28"/>
  <c r="R17" i="28" s="1"/>
  <c r="C71" i="28"/>
  <c r="R71" i="28" s="1"/>
  <c r="C21" i="28"/>
  <c r="R21" i="28" s="1"/>
  <c r="C28" i="28"/>
  <c r="R28" i="28" s="1"/>
  <c r="C66" i="28"/>
  <c r="R66" i="28" s="1"/>
  <c r="C56" i="28"/>
  <c r="R56" i="28" s="1"/>
  <c r="C57" i="28"/>
  <c r="R57" i="28" s="1"/>
  <c r="C36" i="28"/>
  <c r="R36" i="28" s="1"/>
  <c r="C12" i="28"/>
  <c r="R12" i="28" s="1"/>
  <c r="C49" i="28"/>
  <c r="R49" i="28" s="1"/>
  <c r="C15" i="28"/>
  <c r="R15" i="28" s="1"/>
  <c r="M4" i="28"/>
  <c r="J75" i="28"/>
  <c r="I75" i="28"/>
  <c r="M46" i="28"/>
  <c r="M16" i="28"/>
  <c r="M19" i="28"/>
  <c r="M26" i="28"/>
  <c r="M15" i="28"/>
  <c r="M35" i="28"/>
  <c r="M36" i="28"/>
  <c r="M66" i="28"/>
  <c r="M67" i="28"/>
  <c r="M31" i="28"/>
  <c r="M14" i="28"/>
  <c r="M22" i="28"/>
  <c r="M8" i="28"/>
  <c r="M21" i="28"/>
  <c r="M43" i="28"/>
  <c r="M27" i="28"/>
  <c r="M49" i="28"/>
  <c r="M70" i="28"/>
  <c r="M65" i="28"/>
  <c r="M17" i="28"/>
  <c r="M50" i="28"/>
  <c r="M20" i="28"/>
  <c r="M7" i="28"/>
  <c r="M40" i="28"/>
  <c r="M74" i="28"/>
  <c r="M9" i="28"/>
  <c r="M61" i="28"/>
  <c r="M28" i="28"/>
  <c r="M12" i="28"/>
  <c r="M42" i="28"/>
  <c r="M55" i="28"/>
  <c r="M13" i="28"/>
  <c r="M33" i="28"/>
  <c r="M56" i="28"/>
  <c r="M39" i="28"/>
  <c r="M24" i="28"/>
  <c r="M60" i="28"/>
  <c r="M11" i="28"/>
  <c r="M53" i="28"/>
  <c r="M71" i="28"/>
  <c r="M30" i="28"/>
  <c r="M38" i="28"/>
  <c r="M18" i="28"/>
  <c r="M32" i="28"/>
  <c r="M51" i="28"/>
  <c r="M25" i="28"/>
  <c r="M69" i="28"/>
  <c r="M10" i="28"/>
  <c r="M41" i="28"/>
  <c r="M68" i="28"/>
  <c r="M57" i="28"/>
  <c r="M5" i="28"/>
  <c r="M34" i="28"/>
  <c r="M44" i="28"/>
  <c r="M58" i="28"/>
  <c r="M54" i="28"/>
  <c r="M29" i="28"/>
  <c r="M23" i="28"/>
  <c r="M63" i="28"/>
  <c r="M45" i="28"/>
  <c r="M48" i="28"/>
  <c r="M73" i="28"/>
  <c r="M59" i="28"/>
  <c r="M52" i="28"/>
  <c r="M64" i="28"/>
  <c r="M72" i="28"/>
  <c r="R63" i="12"/>
  <c r="S63" i="12" s="1"/>
  <c r="R19" i="14"/>
  <c r="S19" i="14" s="1"/>
  <c r="T19" i="14" s="1"/>
  <c r="R32" i="9"/>
  <c r="S32" i="9" s="1"/>
  <c r="T32" i="9" s="1"/>
  <c r="R48" i="9"/>
  <c r="S48" i="9" s="1"/>
  <c r="T48" i="9" s="1"/>
  <c r="R66" i="9"/>
  <c r="S66" i="9" s="1"/>
  <c r="T66" i="9" s="1"/>
  <c r="R16" i="9"/>
  <c r="S16" i="9" s="1"/>
  <c r="T16" i="9" s="1"/>
  <c r="U16" i="9" s="1"/>
  <c r="V16" i="9" s="1"/>
  <c r="W16" i="9" s="1"/>
  <c r="R59" i="9"/>
  <c r="S59" i="9" s="1"/>
  <c r="T59" i="9" s="1"/>
  <c r="S71" i="9"/>
  <c r="R4" i="9"/>
  <c r="S4" i="9" s="1"/>
  <c r="R20" i="9"/>
  <c r="S20" i="9" s="1"/>
  <c r="T20" i="9" s="1"/>
  <c r="U20" i="9" s="1"/>
  <c r="V20" i="9" s="1"/>
  <c r="W20" i="9" s="1"/>
  <c r="R36" i="9"/>
  <c r="S36" i="9" s="1"/>
  <c r="T36" i="9" s="1"/>
  <c r="R52" i="9"/>
  <c r="S52" i="9" s="1"/>
  <c r="T52" i="9" s="1"/>
  <c r="R70" i="9"/>
  <c r="S70" i="9" s="1"/>
  <c r="T70" i="9" s="1"/>
  <c r="S18" i="12"/>
  <c r="T18" i="12" s="1"/>
  <c r="S34" i="12"/>
  <c r="T34" i="12" s="1"/>
  <c r="S50" i="12"/>
  <c r="T50" i="12" s="1"/>
  <c r="S67" i="12"/>
  <c r="T67" i="12" s="1"/>
  <c r="S68" i="12"/>
  <c r="T68" i="12" s="1"/>
  <c r="R8" i="9"/>
  <c r="S8" i="9" s="1"/>
  <c r="T8" i="9" s="1"/>
  <c r="U8" i="9" s="1"/>
  <c r="V8" i="9" s="1"/>
  <c r="W8" i="9" s="1"/>
  <c r="R24" i="9"/>
  <c r="S24" i="9" s="1"/>
  <c r="T24" i="9" s="1"/>
  <c r="U24" i="9" s="1"/>
  <c r="V24" i="9" s="1"/>
  <c r="W24" i="9" s="1"/>
  <c r="R40" i="9"/>
  <c r="S40" i="9" s="1"/>
  <c r="T40" i="9" s="1"/>
  <c r="R56" i="9"/>
  <c r="S56" i="9" s="1"/>
  <c r="T56" i="9" s="1"/>
  <c r="R74" i="9"/>
  <c r="S74" i="9" s="1"/>
  <c r="T74" i="9" s="1"/>
  <c r="S6" i="12"/>
  <c r="T6" i="12" s="1"/>
  <c r="U6" i="12" s="1"/>
  <c r="V6" i="12" s="1"/>
  <c r="W6" i="12" s="1"/>
  <c r="X6" i="12" s="1"/>
  <c r="Z6" i="12" s="1"/>
  <c r="S22" i="12"/>
  <c r="T22" i="12" s="1"/>
  <c r="S38" i="12"/>
  <c r="T38" i="12" s="1"/>
  <c r="S54" i="12"/>
  <c r="T54" i="12" s="1"/>
  <c r="R12" i="9"/>
  <c r="S12" i="9" s="1"/>
  <c r="T12" i="9" s="1"/>
  <c r="U12" i="9" s="1"/>
  <c r="V12" i="9" s="1"/>
  <c r="W12" i="9" s="1"/>
  <c r="R28" i="9"/>
  <c r="S28" i="9" s="1"/>
  <c r="T28" i="9" s="1"/>
  <c r="R44" i="9"/>
  <c r="S44" i="9" s="1"/>
  <c r="T44" i="9" s="1"/>
  <c r="U44" i="9" s="1"/>
  <c r="V44" i="9" s="1"/>
  <c r="W44" i="9" s="1"/>
  <c r="R62" i="9"/>
  <c r="S62" i="9" s="1"/>
  <c r="T62" i="9" s="1"/>
  <c r="S10" i="12"/>
  <c r="T10" i="12" s="1"/>
  <c r="S26" i="12"/>
  <c r="T26" i="12" s="1"/>
  <c r="S42" i="12"/>
  <c r="T42" i="12" s="1"/>
  <c r="S58" i="12"/>
  <c r="T58" i="12" s="1"/>
  <c r="R6" i="9"/>
  <c r="S6" i="9" s="1"/>
  <c r="T6" i="9" s="1"/>
  <c r="U6" i="9" s="1"/>
  <c r="V6" i="9" s="1"/>
  <c r="W6" i="9" s="1"/>
  <c r="X6" i="9" s="1"/>
  <c r="Z6" i="9" s="1"/>
  <c r="R10" i="9"/>
  <c r="S10" i="9" s="1"/>
  <c r="T10" i="9" s="1"/>
  <c r="U10" i="9" s="1"/>
  <c r="V10" i="9" s="1"/>
  <c r="W10" i="9" s="1"/>
  <c r="X10" i="9" s="1"/>
  <c r="Z10" i="9" s="1"/>
  <c r="R14" i="9"/>
  <c r="S14" i="9" s="1"/>
  <c r="T14" i="9" s="1"/>
  <c r="U14" i="9" s="1"/>
  <c r="V14" i="9" s="1"/>
  <c r="W14" i="9" s="1"/>
  <c r="X14" i="9" s="1"/>
  <c r="Z14" i="9" s="1"/>
  <c r="R18" i="9"/>
  <c r="S18" i="9" s="1"/>
  <c r="T18" i="9" s="1"/>
  <c r="U18" i="9" s="1"/>
  <c r="V18" i="9" s="1"/>
  <c r="W18" i="9" s="1"/>
  <c r="X18" i="9" s="1"/>
  <c r="Z18" i="9" s="1"/>
  <c r="R22" i="9"/>
  <c r="S22" i="9" s="1"/>
  <c r="T22" i="9" s="1"/>
  <c r="U22" i="9" s="1"/>
  <c r="V22" i="9" s="1"/>
  <c r="W22" i="9" s="1"/>
  <c r="X22" i="9" s="1"/>
  <c r="Z22" i="9" s="1"/>
  <c r="R26" i="9"/>
  <c r="S26" i="9" s="1"/>
  <c r="T26" i="9" s="1"/>
  <c r="U26" i="9" s="1"/>
  <c r="V26" i="9" s="1"/>
  <c r="W26" i="9" s="1"/>
  <c r="X26" i="9" s="1"/>
  <c r="Z26" i="9" s="1"/>
  <c r="R30" i="9"/>
  <c r="S30" i="9" s="1"/>
  <c r="T30" i="9" s="1"/>
  <c r="R34" i="9"/>
  <c r="S34" i="9" s="1"/>
  <c r="T34" i="9" s="1"/>
  <c r="U34" i="9" s="1"/>
  <c r="V34" i="9" s="1"/>
  <c r="W34" i="9" s="1"/>
  <c r="X34" i="9" s="1"/>
  <c r="Z34" i="9" s="1"/>
  <c r="R38" i="9"/>
  <c r="S38" i="9" s="1"/>
  <c r="T38" i="9" s="1"/>
  <c r="U38" i="9" s="1"/>
  <c r="V38" i="9" s="1"/>
  <c r="W38" i="9" s="1"/>
  <c r="X38" i="9" s="1"/>
  <c r="Z38" i="9" s="1"/>
  <c r="R42" i="9"/>
  <c r="S42" i="9" s="1"/>
  <c r="T42" i="9" s="1"/>
  <c r="R46" i="9"/>
  <c r="S46" i="9" s="1"/>
  <c r="T46" i="9" s="1"/>
  <c r="R50" i="9"/>
  <c r="S50" i="9" s="1"/>
  <c r="T50" i="9" s="1"/>
  <c r="R54" i="9"/>
  <c r="S54" i="9" s="1"/>
  <c r="T54" i="9" s="1"/>
  <c r="R58" i="9"/>
  <c r="S58" i="9" s="1"/>
  <c r="T58" i="9" s="1"/>
  <c r="R64" i="9"/>
  <c r="S64" i="9" s="1"/>
  <c r="T64" i="9" s="1"/>
  <c r="R72" i="9"/>
  <c r="S72" i="9" s="1"/>
  <c r="T72" i="9" s="1"/>
  <c r="R75" i="9"/>
  <c r="R4" i="12"/>
  <c r="S4" i="12" s="1"/>
  <c r="T4" i="12" s="1"/>
  <c r="U4" i="12" s="1"/>
  <c r="V4" i="12" s="1"/>
  <c r="R8" i="12"/>
  <c r="S8" i="12" s="1"/>
  <c r="T8" i="12" s="1"/>
  <c r="U8" i="12" s="1"/>
  <c r="V8" i="12" s="1"/>
  <c r="W8" i="12" s="1"/>
  <c r="R12" i="12"/>
  <c r="S12" i="12" s="1"/>
  <c r="T12" i="12" s="1"/>
  <c r="R16" i="12"/>
  <c r="S16" i="12" s="1"/>
  <c r="T16" i="12" s="1"/>
  <c r="R20" i="12"/>
  <c r="S20" i="12" s="1"/>
  <c r="T20" i="12" s="1"/>
  <c r="R24" i="12"/>
  <c r="S24" i="12" s="1"/>
  <c r="T24" i="12" s="1"/>
  <c r="R28" i="12"/>
  <c r="S28" i="12" s="1"/>
  <c r="T28" i="12" s="1"/>
  <c r="R32" i="12"/>
  <c r="S32" i="12" s="1"/>
  <c r="T32" i="12" s="1"/>
  <c r="R36" i="12"/>
  <c r="S36" i="12" s="1"/>
  <c r="T36" i="12" s="1"/>
  <c r="R40" i="12"/>
  <c r="S40" i="12" s="1"/>
  <c r="T40" i="12" s="1"/>
  <c r="R44" i="12"/>
  <c r="S44" i="12" s="1"/>
  <c r="T44" i="12" s="1"/>
  <c r="R48" i="12"/>
  <c r="S48" i="12" s="1"/>
  <c r="T48" i="12" s="1"/>
  <c r="R52" i="12"/>
  <c r="S52" i="12" s="1"/>
  <c r="T52" i="12" s="1"/>
  <c r="R56" i="12"/>
  <c r="S56" i="12" s="1"/>
  <c r="T56" i="12" s="1"/>
  <c r="R59" i="12"/>
  <c r="S59" i="12" s="1"/>
  <c r="T59" i="12" s="1"/>
  <c r="R65" i="12"/>
  <c r="S65" i="12" s="1"/>
  <c r="T65" i="12" s="1"/>
  <c r="R69" i="12"/>
  <c r="S69" i="12" s="1"/>
  <c r="T69" i="12" s="1"/>
  <c r="R73" i="12"/>
  <c r="S73" i="12" s="1"/>
  <c r="T73" i="12" s="1"/>
  <c r="R7" i="9"/>
  <c r="S7" i="9" s="1"/>
  <c r="T7" i="9" s="1"/>
  <c r="U7" i="9" s="1"/>
  <c r="V7" i="9" s="1"/>
  <c r="W7" i="9" s="1"/>
  <c r="R11" i="9"/>
  <c r="S11" i="9" s="1"/>
  <c r="T11" i="9" s="1"/>
  <c r="U11" i="9" s="1"/>
  <c r="V11" i="9" s="1"/>
  <c r="W11" i="9" s="1"/>
  <c r="R15" i="9"/>
  <c r="S15" i="9" s="1"/>
  <c r="T15" i="9" s="1"/>
  <c r="U15" i="9" s="1"/>
  <c r="V15" i="9" s="1"/>
  <c r="W15" i="9" s="1"/>
  <c r="R19" i="9"/>
  <c r="S19" i="9" s="1"/>
  <c r="T19" i="9" s="1"/>
  <c r="U19" i="9" s="1"/>
  <c r="V19" i="9" s="1"/>
  <c r="W19" i="9" s="1"/>
  <c r="R23" i="9"/>
  <c r="S23" i="9" s="1"/>
  <c r="T23" i="9" s="1"/>
  <c r="U23" i="9" s="1"/>
  <c r="V23" i="9" s="1"/>
  <c r="W23" i="9" s="1"/>
  <c r="R27" i="9"/>
  <c r="S27" i="9" s="1"/>
  <c r="T27" i="9" s="1"/>
  <c r="R31" i="9"/>
  <c r="S31" i="9" s="1"/>
  <c r="T31" i="9" s="1"/>
  <c r="R35" i="9"/>
  <c r="S35" i="9" s="1"/>
  <c r="T35" i="9" s="1"/>
  <c r="R39" i="9"/>
  <c r="S39" i="9" s="1"/>
  <c r="T39" i="9" s="1"/>
  <c r="R43" i="9"/>
  <c r="S43" i="9" s="1"/>
  <c r="T43" i="9" s="1"/>
  <c r="R47" i="9"/>
  <c r="S47" i="9" s="1"/>
  <c r="T47" i="9" s="1"/>
  <c r="R51" i="9"/>
  <c r="S51" i="9" s="1"/>
  <c r="T51" i="9" s="1"/>
  <c r="R55" i="9"/>
  <c r="S55" i="9" s="1"/>
  <c r="T55" i="9" s="1"/>
  <c r="R65" i="9"/>
  <c r="S65" i="9" s="1"/>
  <c r="T65" i="9" s="1"/>
  <c r="R69" i="9"/>
  <c r="S69" i="9" s="1"/>
  <c r="T69" i="9" s="1"/>
  <c r="R73" i="9"/>
  <c r="S73" i="9" s="1"/>
  <c r="T73" i="9" s="1"/>
  <c r="R5" i="12"/>
  <c r="S5" i="12" s="1"/>
  <c r="T5" i="12" s="1"/>
  <c r="U5" i="12" s="1"/>
  <c r="V5" i="12" s="1"/>
  <c r="W5" i="12" s="1"/>
  <c r="R9" i="12"/>
  <c r="S9" i="12" s="1"/>
  <c r="T9" i="12" s="1"/>
  <c r="U9" i="12" s="1"/>
  <c r="V9" i="12" s="1"/>
  <c r="W9" i="12" s="1"/>
  <c r="R13" i="12"/>
  <c r="S13" i="12" s="1"/>
  <c r="T13" i="12" s="1"/>
  <c r="U13" i="12" s="1"/>
  <c r="V13" i="12" s="1"/>
  <c r="W13" i="12" s="1"/>
  <c r="R17" i="12"/>
  <c r="S17" i="12" s="1"/>
  <c r="T17" i="12" s="1"/>
  <c r="R21" i="12"/>
  <c r="S21" i="12" s="1"/>
  <c r="T21" i="12" s="1"/>
  <c r="R25" i="12"/>
  <c r="S25" i="12" s="1"/>
  <c r="T25" i="12" s="1"/>
  <c r="R29" i="12"/>
  <c r="S29" i="12" s="1"/>
  <c r="T29" i="12" s="1"/>
  <c r="R33" i="12"/>
  <c r="S33" i="12" s="1"/>
  <c r="T33" i="12" s="1"/>
  <c r="R37" i="12"/>
  <c r="S37" i="12" s="1"/>
  <c r="T37" i="12" s="1"/>
  <c r="R41" i="12"/>
  <c r="S41" i="12" s="1"/>
  <c r="T41" i="12" s="1"/>
  <c r="R45" i="12"/>
  <c r="S45" i="12" s="1"/>
  <c r="T45" i="12" s="1"/>
  <c r="R49" i="12"/>
  <c r="S49" i="12" s="1"/>
  <c r="T49" i="12" s="1"/>
  <c r="R53" i="12"/>
  <c r="S53" i="12" s="1"/>
  <c r="T53" i="12" s="1"/>
  <c r="R57" i="12"/>
  <c r="S57" i="12" s="1"/>
  <c r="T57" i="12" s="1"/>
  <c r="R60" i="12"/>
  <c r="S60" i="12" s="1"/>
  <c r="T60" i="12" s="1"/>
  <c r="R62" i="12"/>
  <c r="S62" i="12" s="1"/>
  <c r="T62" i="12" s="1"/>
  <c r="R66" i="12"/>
  <c r="S66" i="12" s="1"/>
  <c r="T66" i="12" s="1"/>
  <c r="R70" i="12"/>
  <c r="S70" i="12" s="1"/>
  <c r="T70" i="12" s="1"/>
  <c r="R8" i="14"/>
  <c r="S8" i="14" s="1"/>
  <c r="T8" i="14" s="1"/>
  <c r="R51" i="14"/>
  <c r="S51" i="14" s="1"/>
  <c r="T51" i="14" s="1"/>
  <c r="R5" i="9"/>
  <c r="S5" i="9" s="1"/>
  <c r="T5" i="9" s="1"/>
  <c r="U5" i="9" s="1"/>
  <c r="V5" i="9" s="1"/>
  <c r="W5" i="9" s="1"/>
  <c r="R9" i="9"/>
  <c r="S9" i="9" s="1"/>
  <c r="T9" i="9" s="1"/>
  <c r="U9" i="9" s="1"/>
  <c r="V9" i="9" s="1"/>
  <c r="W9" i="9" s="1"/>
  <c r="R13" i="9"/>
  <c r="S13" i="9" s="1"/>
  <c r="T13" i="9" s="1"/>
  <c r="U13" i="9" s="1"/>
  <c r="V13" i="9" s="1"/>
  <c r="W13" i="9" s="1"/>
  <c r="R17" i="9"/>
  <c r="S17" i="9" s="1"/>
  <c r="R21" i="9"/>
  <c r="S21" i="9" s="1"/>
  <c r="T21" i="9" s="1"/>
  <c r="U21" i="9" s="1"/>
  <c r="V21" i="9" s="1"/>
  <c r="W21" i="9" s="1"/>
  <c r="R25" i="9"/>
  <c r="S25" i="9" s="1"/>
  <c r="T25" i="9" s="1"/>
  <c r="U25" i="9" s="1"/>
  <c r="R29" i="9"/>
  <c r="S29" i="9" s="1"/>
  <c r="T29" i="9" s="1"/>
  <c r="R33" i="9"/>
  <c r="S33" i="9" s="1"/>
  <c r="T33" i="9" s="1"/>
  <c r="R37" i="9"/>
  <c r="S37" i="9" s="1"/>
  <c r="T37" i="9" s="1"/>
  <c r="R41" i="9"/>
  <c r="S41" i="9" s="1"/>
  <c r="T41" i="9" s="1"/>
  <c r="R45" i="9"/>
  <c r="S45" i="9" s="1"/>
  <c r="T45" i="9" s="1"/>
  <c r="R49" i="9"/>
  <c r="S49" i="9" s="1"/>
  <c r="T49" i="9" s="1"/>
  <c r="R53" i="9"/>
  <c r="S53" i="9" s="1"/>
  <c r="T53" i="9" s="1"/>
  <c r="R57" i="9"/>
  <c r="S57" i="9" s="1"/>
  <c r="T57" i="9" s="1"/>
  <c r="R60" i="9"/>
  <c r="S60" i="9" s="1"/>
  <c r="T60" i="9" s="1"/>
  <c r="R63" i="9"/>
  <c r="S63" i="9" s="1"/>
  <c r="T63" i="9" s="1"/>
  <c r="R67" i="9"/>
  <c r="S67" i="9" s="1"/>
  <c r="T67" i="9" s="1"/>
  <c r="R68" i="9"/>
  <c r="S68" i="9" s="1"/>
  <c r="T68" i="9" s="1"/>
  <c r="R7" i="12"/>
  <c r="S7" i="12" s="1"/>
  <c r="T7" i="12" s="1"/>
  <c r="U7" i="12" s="1"/>
  <c r="V7" i="12" s="1"/>
  <c r="W7" i="12" s="1"/>
  <c r="R11" i="12"/>
  <c r="S11" i="12" s="1"/>
  <c r="T11" i="12" s="1"/>
  <c r="U11" i="12" s="1"/>
  <c r="V11" i="12" s="1"/>
  <c r="W11" i="12" s="1"/>
  <c r="R15" i="12"/>
  <c r="S15" i="12" s="1"/>
  <c r="T15" i="12" s="1"/>
  <c r="R19" i="12"/>
  <c r="S19" i="12" s="1"/>
  <c r="T19" i="12" s="1"/>
  <c r="R23" i="12"/>
  <c r="S23" i="12" s="1"/>
  <c r="T23" i="12" s="1"/>
  <c r="R27" i="12"/>
  <c r="S27" i="12" s="1"/>
  <c r="T27" i="12" s="1"/>
  <c r="R31" i="12"/>
  <c r="S31" i="12" s="1"/>
  <c r="T31" i="12" s="1"/>
  <c r="R35" i="12"/>
  <c r="S35" i="12" s="1"/>
  <c r="T35" i="12" s="1"/>
  <c r="R39" i="12"/>
  <c r="S39" i="12" s="1"/>
  <c r="T39" i="12" s="1"/>
  <c r="R43" i="12"/>
  <c r="S43" i="12" s="1"/>
  <c r="T43" i="12" s="1"/>
  <c r="R47" i="12"/>
  <c r="S47" i="12" s="1"/>
  <c r="T47" i="12" s="1"/>
  <c r="R51" i="12"/>
  <c r="S51" i="12" s="1"/>
  <c r="T51" i="12" s="1"/>
  <c r="R55" i="12"/>
  <c r="S55" i="12" s="1"/>
  <c r="T55" i="12" s="1"/>
  <c r="R64" i="12"/>
  <c r="S64" i="12" s="1"/>
  <c r="T64" i="12" s="1"/>
  <c r="R72" i="12"/>
  <c r="S72" i="12" s="1"/>
  <c r="T72" i="12" s="1"/>
  <c r="R31" i="14"/>
  <c r="S31" i="14" s="1"/>
  <c r="T31" i="14" s="1"/>
  <c r="R24" i="14"/>
  <c r="S24" i="14" s="1"/>
  <c r="T24" i="14" s="1"/>
  <c r="R35" i="14"/>
  <c r="S35" i="14" s="1"/>
  <c r="T35" i="14" s="1"/>
  <c r="L4" i="14"/>
  <c r="R13" i="14"/>
  <c r="S13" i="14" s="1"/>
  <c r="T13" i="14" s="1"/>
  <c r="R27" i="14"/>
  <c r="S27" i="14" s="1"/>
  <c r="T27" i="14" s="1"/>
  <c r="R45" i="14"/>
  <c r="S45" i="14" s="1"/>
  <c r="T45" i="14" s="1"/>
  <c r="R59" i="14"/>
  <c r="S59" i="14" s="1"/>
  <c r="T59" i="14" s="1"/>
  <c r="R66" i="14"/>
  <c r="S66" i="14" s="1"/>
  <c r="T66" i="14" s="1"/>
  <c r="D77" i="7"/>
  <c r="R5" i="14"/>
  <c r="S5" i="14" s="1"/>
  <c r="T5" i="14" s="1"/>
  <c r="U5" i="14" s="1"/>
  <c r="V5" i="14" s="1"/>
  <c r="W5" i="14" s="1"/>
  <c r="R16" i="14"/>
  <c r="S16" i="14" s="1"/>
  <c r="T16" i="14" s="1"/>
  <c r="R29" i="14"/>
  <c r="S29" i="14" s="1"/>
  <c r="T29" i="14" s="1"/>
  <c r="P28" i="19"/>
  <c r="P30" i="19"/>
  <c r="P32" i="19"/>
  <c r="P34" i="19"/>
  <c r="P36" i="19"/>
  <c r="P40" i="19"/>
  <c r="S75" i="12"/>
  <c r="T75" i="12" s="1"/>
  <c r="S75" i="9"/>
  <c r="T75" i="9" s="1"/>
  <c r="P24" i="19"/>
  <c r="H37" i="5"/>
  <c r="K28" i="6"/>
  <c r="L28" i="6" s="1"/>
  <c r="M70" i="9"/>
  <c r="AD70" i="9" s="1"/>
  <c r="AH70" i="9" s="1"/>
  <c r="AI70" i="9" s="1"/>
  <c r="AK70" i="9" s="1"/>
  <c r="I25" i="18"/>
  <c r="AD6" i="9"/>
  <c r="AH6" i="9" s="1"/>
  <c r="AI6" i="9" s="1"/>
  <c r="AK6" i="9" s="1"/>
  <c r="L26" i="9"/>
  <c r="L58" i="9"/>
  <c r="M23" i="12"/>
  <c r="AD23" i="12" s="1"/>
  <c r="AH23" i="12" s="1"/>
  <c r="AI23" i="12" s="1"/>
  <c r="AK23" i="12" s="1"/>
  <c r="L41" i="12"/>
  <c r="L73" i="12"/>
  <c r="L24" i="14"/>
  <c r="I74" i="18"/>
  <c r="J74" i="18" s="1"/>
  <c r="M20" i="14"/>
  <c r="AD20" i="14" s="1"/>
  <c r="L20" i="14"/>
  <c r="L28" i="14"/>
  <c r="M28" i="14"/>
  <c r="AD28" i="14" s="1"/>
  <c r="I29" i="18"/>
  <c r="I39" i="18"/>
  <c r="K12" i="6"/>
  <c r="L12" i="6" s="1"/>
  <c r="L12" i="9"/>
  <c r="M12" i="9"/>
  <c r="AD12" i="9" s="1"/>
  <c r="AH12" i="9" s="1"/>
  <c r="AI12" i="9" s="1"/>
  <c r="AK12" i="9" s="1"/>
  <c r="M4" i="12"/>
  <c r="AD4" i="12" s="1"/>
  <c r="L4" i="12"/>
  <c r="R73" i="14"/>
  <c r="S73" i="14" s="1"/>
  <c r="T73" i="14" s="1"/>
  <c r="R68" i="14"/>
  <c r="S68" i="14" s="1"/>
  <c r="T68" i="14" s="1"/>
  <c r="R67" i="14"/>
  <c r="S67" i="14" s="1"/>
  <c r="T67" i="14" s="1"/>
  <c r="R65" i="14"/>
  <c r="S65" i="14" s="1"/>
  <c r="T65" i="14" s="1"/>
  <c r="R63" i="14"/>
  <c r="S63" i="14" s="1"/>
  <c r="T63" i="14" s="1"/>
  <c r="R48" i="14"/>
  <c r="S48" i="14" s="1"/>
  <c r="T48" i="14" s="1"/>
  <c r="R41" i="14"/>
  <c r="S41" i="14" s="1"/>
  <c r="T41" i="14" s="1"/>
  <c r="R38" i="14"/>
  <c r="S38" i="14" s="1"/>
  <c r="T38" i="14" s="1"/>
  <c r="R34" i="14"/>
  <c r="S34" i="14" s="1"/>
  <c r="T34" i="14" s="1"/>
  <c r="R21" i="14"/>
  <c r="S21" i="14" s="1"/>
  <c r="T21" i="14" s="1"/>
  <c r="R18" i="14"/>
  <c r="S18" i="14" s="1"/>
  <c r="T18" i="14" s="1"/>
  <c r="R10" i="14"/>
  <c r="S10" i="14" s="1"/>
  <c r="T10" i="14" s="1"/>
  <c r="R7" i="14"/>
  <c r="S7" i="14" s="1"/>
  <c r="T7" i="14" s="1"/>
  <c r="U7" i="14" s="1"/>
  <c r="V7" i="14" s="1"/>
  <c r="W7" i="14" s="1"/>
  <c r="R4" i="14"/>
  <c r="S4" i="14" s="1"/>
  <c r="S76" i="14" s="1"/>
  <c r="R75" i="14"/>
  <c r="S75" i="14" s="1"/>
  <c r="T75" i="14" s="1"/>
  <c r="R72" i="14"/>
  <c r="S72" i="14" s="1"/>
  <c r="T72" i="14" s="1"/>
  <c r="R70" i="14"/>
  <c r="S70" i="14" s="1"/>
  <c r="T70" i="14" s="1"/>
  <c r="R64" i="14"/>
  <c r="S64" i="14" s="1"/>
  <c r="T64" i="14" s="1"/>
  <c r="R62" i="14"/>
  <c r="S62" i="14" s="1"/>
  <c r="T62" i="14" s="1"/>
  <c r="R60" i="14"/>
  <c r="S60" i="14" s="1"/>
  <c r="T60" i="14" s="1"/>
  <c r="R57" i="14"/>
  <c r="S57" i="14" s="1"/>
  <c r="T57" i="14" s="1"/>
  <c r="R55" i="14"/>
  <c r="S55" i="14" s="1"/>
  <c r="T55" i="14" s="1"/>
  <c r="R53" i="14"/>
  <c r="S53" i="14" s="1"/>
  <c r="T53" i="14" s="1"/>
  <c r="R50" i="14"/>
  <c r="S50" i="14" s="1"/>
  <c r="T50" i="14" s="1"/>
  <c r="R47" i="14"/>
  <c r="S47" i="14" s="1"/>
  <c r="T47" i="14" s="1"/>
  <c r="R44" i="14"/>
  <c r="S44" i="14" s="1"/>
  <c r="T44" i="14" s="1"/>
  <c r="R40" i="14"/>
  <c r="S40" i="14" s="1"/>
  <c r="T40" i="14" s="1"/>
  <c r="R37" i="14"/>
  <c r="S37" i="14" s="1"/>
  <c r="T37" i="14" s="1"/>
  <c r="R33" i="14"/>
  <c r="S33" i="14" s="1"/>
  <c r="T33" i="14" s="1"/>
  <c r="R30" i="14"/>
  <c r="S30" i="14" s="1"/>
  <c r="T30" i="14" s="1"/>
  <c r="R28" i="14"/>
  <c r="S28" i="14" s="1"/>
  <c r="T28" i="14" s="1"/>
  <c r="R26" i="14"/>
  <c r="S26" i="14" s="1"/>
  <c r="T26" i="14" s="1"/>
  <c r="R23" i="14"/>
  <c r="S23" i="14" s="1"/>
  <c r="T23" i="14" s="1"/>
  <c r="R20" i="14"/>
  <c r="S20" i="14" s="1"/>
  <c r="T20" i="14" s="1"/>
  <c r="R15" i="14"/>
  <c r="S15" i="14" s="1"/>
  <c r="T15" i="14" s="1"/>
  <c r="R12" i="14"/>
  <c r="S12" i="14" s="1"/>
  <c r="T12" i="14" s="1"/>
  <c r="R9" i="14"/>
  <c r="S9" i="14" s="1"/>
  <c r="T9" i="14" s="1"/>
  <c r="R69" i="14"/>
  <c r="S69" i="14" s="1"/>
  <c r="T69" i="14" s="1"/>
  <c r="R56" i="14"/>
  <c r="S56" i="14" s="1"/>
  <c r="T56" i="14" s="1"/>
  <c r="R54" i="14"/>
  <c r="S54" i="14" s="1"/>
  <c r="T54" i="14" s="1"/>
  <c r="R52" i="14"/>
  <c r="S52" i="14" s="1"/>
  <c r="T52" i="14" s="1"/>
  <c r="R43" i="14"/>
  <c r="S43" i="14" s="1"/>
  <c r="T43" i="14" s="1"/>
  <c r="R36" i="14"/>
  <c r="S36" i="14" s="1"/>
  <c r="T36" i="14" s="1"/>
  <c r="R32" i="14"/>
  <c r="S32" i="14" s="1"/>
  <c r="T32" i="14" s="1"/>
  <c r="R25" i="14"/>
  <c r="S25" i="14" s="1"/>
  <c r="T25" i="14" s="1"/>
  <c r="R22" i="14"/>
  <c r="S22" i="14" s="1"/>
  <c r="T22" i="14" s="1"/>
  <c r="R17" i="14"/>
  <c r="S17" i="14" s="1"/>
  <c r="T17" i="14" s="1"/>
  <c r="R14" i="14"/>
  <c r="S14" i="14" s="1"/>
  <c r="T14" i="14" s="1"/>
  <c r="R11" i="14"/>
  <c r="S11" i="14" s="1"/>
  <c r="T11" i="14" s="1"/>
  <c r="R6" i="14"/>
  <c r="S6" i="14" s="1"/>
  <c r="T6" i="14" s="1"/>
  <c r="U6" i="14" s="1"/>
  <c r="V6" i="14" s="1"/>
  <c r="W6" i="14" s="1"/>
  <c r="X6" i="14" s="1"/>
  <c r="Z6" i="14" s="1"/>
  <c r="I42" i="18"/>
  <c r="I20" i="5"/>
  <c r="I11" i="18"/>
  <c r="I19" i="18"/>
  <c r="I47" i="18"/>
  <c r="I57" i="18"/>
  <c r="I60" i="18"/>
  <c r="I64" i="18"/>
  <c r="I77" i="7"/>
  <c r="L30" i="14"/>
  <c r="M30" i="14"/>
  <c r="AD30" i="14" s="1"/>
  <c r="R39" i="14"/>
  <c r="S39" i="14" s="1"/>
  <c r="T39" i="14" s="1"/>
  <c r="M40" i="14"/>
  <c r="AD40" i="14" s="1"/>
  <c r="L40" i="14"/>
  <c r="R46" i="14"/>
  <c r="S46" i="14" s="1"/>
  <c r="T46" i="14" s="1"/>
  <c r="R71" i="14"/>
  <c r="S71" i="14" s="1"/>
  <c r="T71" i="14" s="1"/>
  <c r="L72" i="14"/>
  <c r="M72" i="14"/>
  <c r="AD72" i="14" s="1"/>
  <c r="I49" i="18"/>
  <c r="L52" i="12"/>
  <c r="M52" i="12"/>
  <c r="AD52" i="12" s="1"/>
  <c r="AH52" i="12" s="1"/>
  <c r="AI52" i="12" s="1"/>
  <c r="AK52" i="12" s="1"/>
  <c r="I12" i="18"/>
  <c r="I20" i="18"/>
  <c r="I34" i="18"/>
  <c r="I65" i="18"/>
  <c r="I12" i="5"/>
  <c r="K44" i="6"/>
  <c r="L44" i="6" s="1"/>
  <c r="M4" i="9"/>
  <c r="AD4" i="9" s="1"/>
  <c r="AH4" i="9" s="1"/>
  <c r="L4" i="9"/>
  <c r="M39" i="9"/>
  <c r="AD39" i="9" s="1"/>
  <c r="AH39" i="9" s="1"/>
  <c r="AI39" i="9" s="1"/>
  <c r="AK39" i="9" s="1"/>
  <c r="L39" i="9"/>
  <c r="L39" i="12"/>
  <c r="M39" i="12"/>
  <c r="AD39" i="12" s="1"/>
  <c r="AH39" i="12" s="1"/>
  <c r="AI39" i="12" s="1"/>
  <c r="AK39" i="12" s="1"/>
  <c r="R42" i="14"/>
  <c r="S42" i="14" s="1"/>
  <c r="T42" i="14" s="1"/>
  <c r="R49" i="14"/>
  <c r="S49" i="14" s="1"/>
  <c r="T49" i="14" s="1"/>
  <c r="M64" i="14"/>
  <c r="AD64" i="14" s="1"/>
  <c r="L64" i="14"/>
  <c r="R74" i="14"/>
  <c r="S74" i="14" s="1"/>
  <c r="T74" i="14" s="1"/>
  <c r="P74" i="26"/>
  <c r="W74" i="26"/>
  <c r="M18" i="9"/>
  <c r="AD18" i="9" s="1"/>
  <c r="AH18" i="9" s="1"/>
  <c r="AI18" i="9" s="1"/>
  <c r="AK18" i="9" s="1"/>
  <c r="M37" i="9"/>
  <c r="AD37" i="9" s="1"/>
  <c r="AH37" i="9" s="1"/>
  <c r="AI37" i="9" s="1"/>
  <c r="AK37" i="9" s="1"/>
  <c r="AF76" i="12"/>
  <c r="AF79" i="12" s="1"/>
  <c r="L42" i="12"/>
  <c r="L44" i="12"/>
  <c r="H40" i="19"/>
  <c r="I40" i="19" s="1"/>
  <c r="M40" i="9"/>
  <c r="AD40" i="9" s="1"/>
  <c r="AH40" i="9" s="1"/>
  <c r="AI40" i="9" s="1"/>
  <c r="AK40" i="9" s="1"/>
  <c r="F76" i="9"/>
  <c r="AJ13" i="12"/>
  <c r="AF76" i="14"/>
  <c r="AF77" i="14" s="1"/>
  <c r="L16" i="14"/>
  <c r="M45" i="14"/>
  <c r="AD45" i="14" s="1"/>
  <c r="L46" i="14"/>
  <c r="P17" i="19"/>
  <c r="V74" i="26"/>
  <c r="H54" i="18"/>
  <c r="I10" i="5"/>
  <c r="I13" i="5"/>
  <c r="I16" i="5"/>
  <c r="I26" i="5"/>
  <c r="I42" i="5"/>
  <c r="M19" i="12"/>
  <c r="AD19" i="12" s="1"/>
  <c r="AH19" i="12" s="1"/>
  <c r="AI19" i="12" s="1"/>
  <c r="AK19" i="12" s="1"/>
  <c r="M35" i="12"/>
  <c r="AD35" i="12" s="1"/>
  <c r="AH35" i="12" s="1"/>
  <c r="AI35" i="12" s="1"/>
  <c r="AK35" i="12" s="1"/>
  <c r="F76" i="12"/>
  <c r="S74" i="26"/>
  <c r="I6" i="18"/>
  <c r="I24" i="18"/>
  <c r="I36" i="18"/>
  <c r="H39" i="18"/>
  <c r="H41" i="18"/>
  <c r="I61" i="18"/>
  <c r="H64" i="18"/>
  <c r="I70" i="18"/>
  <c r="I14" i="5"/>
  <c r="I17" i="5"/>
  <c r="I33" i="5"/>
  <c r="K36" i="6"/>
  <c r="L36" i="6" s="1"/>
  <c r="T17" i="9"/>
  <c r="U17" i="9" s="1"/>
  <c r="V17" i="9" s="1"/>
  <c r="W17" i="9" s="1"/>
  <c r="M22" i="9"/>
  <c r="AD22" i="9" s="1"/>
  <c r="AH22" i="9" s="1"/>
  <c r="AI22" i="9" s="1"/>
  <c r="AK22" i="9" s="1"/>
  <c r="L24" i="9"/>
  <c r="M36" i="9"/>
  <c r="AD36" i="9" s="1"/>
  <c r="AH36" i="9" s="1"/>
  <c r="AI36" i="9" s="1"/>
  <c r="AK36" i="9" s="1"/>
  <c r="L43" i="9"/>
  <c r="M73" i="9"/>
  <c r="AD73" i="9" s="1"/>
  <c r="AH73" i="9" s="1"/>
  <c r="AI73" i="9" s="1"/>
  <c r="AK73" i="9" s="1"/>
  <c r="M15" i="12"/>
  <c r="AD15" i="12" s="1"/>
  <c r="AH15" i="12" s="1"/>
  <c r="AI15" i="12" s="1"/>
  <c r="AK15" i="12" s="1"/>
  <c r="M31" i="12"/>
  <c r="AD31" i="12" s="1"/>
  <c r="AH31" i="12" s="1"/>
  <c r="AI31" i="12" s="1"/>
  <c r="AK31" i="12" s="1"/>
  <c r="M47" i="12"/>
  <c r="AD47" i="12" s="1"/>
  <c r="AH47" i="12" s="1"/>
  <c r="AI47" i="12" s="1"/>
  <c r="AK47" i="12" s="1"/>
  <c r="M56" i="12"/>
  <c r="AD56" i="12" s="1"/>
  <c r="AH56" i="12" s="1"/>
  <c r="AI56" i="12" s="1"/>
  <c r="AK56" i="12" s="1"/>
  <c r="L66" i="12"/>
  <c r="L68" i="12"/>
  <c r="L74" i="12"/>
  <c r="J76" i="14"/>
  <c r="M10" i="14"/>
  <c r="AD10" i="14" s="1"/>
  <c r="M21" i="14"/>
  <c r="AD21" i="14" s="1"/>
  <c r="L33" i="14"/>
  <c r="L35" i="14"/>
  <c r="L52" i="14"/>
  <c r="AO55" i="14"/>
  <c r="AW55" i="14" s="1"/>
  <c r="L56" i="14"/>
  <c r="M65" i="14"/>
  <c r="AD65" i="14" s="1"/>
  <c r="P18" i="19"/>
  <c r="H36" i="19"/>
  <c r="I36" i="19" s="1"/>
  <c r="P54" i="19"/>
  <c r="P60" i="19"/>
  <c r="H6" i="18"/>
  <c r="H24" i="18"/>
  <c r="I5" i="5"/>
  <c r="I8" i="5"/>
  <c r="I18" i="5"/>
  <c r="I21" i="5"/>
  <c r="I24" i="5"/>
  <c r="I34" i="5"/>
  <c r="L5" i="9"/>
  <c r="M7" i="9"/>
  <c r="AD7" i="9" s="1"/>
  <c r="AH7" i="9" s="1"/>
  <c r="AI7" i="9" s="1"/>
  <c r="AK7" i="9" s="1"/>
  <c r="L15" i="9"/>
  <c r="L21" i="9"/>
  <c r="M27" i="9"/>
  <c r="AD27" i="9" s="1"/>
  <c r="AH27" i="9" s="1"/>
  <c r="AI27" i="9" s="1"/>
  <c r="AK27" i="9" s="1"/>
  <c r="L30" i="9"/>
  <c r="L42" i="9"/>
  <c r="L45" i="9"/>
  <c r="L47" i="9"/>
  <c r="L53" i="9"/>
  <c r="M12" i="12"/>
  <c r="AD12" i="12" s="1"/>
  <c r="AH12" i="12" s="1"/>
  <c r="AI12" i="12" s="1"/>
  <c r="AK12" i="12" s="1"/>
  <c r="M27" i="12"/>
  <c r="AD27" i="12" s="1"/>
  <c r="AH27" i="12" s="1"/>
  <c r="AI27" i="12" s="1"/>
  <c r="AK27" i="12" s="1"/>
  <c r="M70" i="12"/>
  <c r="AD70" i="12" s="1"/>
  <c r="AH70" i="12" s="1"/>
  <c r="AI70" i="12" s="1"/>
  <c r="AK70" i="12" s="1"/>
  <c r="L6" i="14"/>
  <c r="M17" i="14"/>
  <c r="AD17" i="14" s="1"/>
  <c r="P13" i="19"/>
  <c r="P21" i="19"/>
  <c r="P23" i="19"/>
  <c r="P35" i="19"/>
  <c r="P47" i="19"/>
  <c r="P49" i="19"/>
  <c r="P51" i="19"/>
  <c r="K58" i="19"/>
  <c r="I16" i="18"/>
  <c r="H19" i="18"/>
  <c r="I31" i="18"/>
  <c r="H40" i="18"/>
  <c r="I45" i="18"/>
  <c r="I51" i="18"/>
  <c r="I54" i="18"/>
  <c r="I6" i="5"/>
  <c r="I9" i="5"/>
  <c r="I22" i="5"/>
  <c r="I25" i="5"/>
  <c r="H28" i="5"/>
  <c r="I41" i="5"/>
  <c r="H44" i="5"/>
  <c r="E79" i="6"/>
  <c r="K20" i="6"/>
  <c r="L20" i="6" s="1"/>
  <c r="K52" i="6"/>
  <c r="L52" i="6" s="1"/>
  <c r="L29" i="9"/>
  <c r="M55" i="9"/>
  <c r="AD55" i="9" s="1"/>
  <c r="AH55" i="9" s="1"/>
  <c r="AI55" i="9" s="1"/>
  <c r="AK55" i="9" s="1"/>
  <c r="M62" i="9"/>
  <c r="AD62" i="9" s="1"/>
  <c r="AH62" i="9" s="1"/>
  <c r="AI62" i="9" s="1"/>
  <c r="AK62" i="9" s="1"/>
  <c r="L65" i="12"/>
  <c r="AJ67" i="12"/>
  <c r="M38" i="14"/>
  <c r="AD38" i="14" s="1"/>
  <c r="L42" i="14"/>
  <c r="L44" i="14"/>
  <c r="M51" i="14"/>
  <c r="AD51" i="14" s="1"/>
  <c r="L75" i="14"/>
  <c r="N5" i="16"/>
  <c r="I7" i="18"/>
  <c r="I10" i="18"/>
  <c r="I15" i="18"/>
  <c r="I17" i="18"/>
  <c r="I22" i="18"/>
  <c r="I30" i="18"/>
  <c r="I35" i="18"/>
  <c r="I37" i="18"/>
  <c r="I44" i="18"/>
  <c r="I46" i="18"/>
  <c r="I48" i="18"/>
  <c r="I55" i="18"/>
  <c r="I58" i="18"/>
  <c r="I69" i="18"/>
  <c r="I71" i="18"/>
  <c r="H7" i="5"/>
  <c r="H11" i="5"/>
  <c r="H15" i="5"/>
  <c r="H19" i="5"/>
  <c r="H23" i="5"/>
  <c r="H29" i="5"/>
  <c r="H36" i="5"/>
  <c r="H45" i="5"/>
  <c r="M10" i="9"/>
  <c r="AD10" i="9" s="1"/>
  <c r="AH10" i="9" s="1"/>
  <c r="AI10" i="9" s="1"/>
  <c r="AK10" i="9" s="1"/>
  <c r="L10" i="9"/>
  <c r="M41" i="9"/>
  <c r="AD41" i="9" s="1"/>
  <c r="AH41" i="9" s="1"/>
  <c r="AI41" i="9" s="1"/>
  <c r="AK41" i="9" s="1"/>
  <c r="L41" i="9"/>
  <c r="M46" i="9"/>
  <c r="AD46" i="9" s="1"/>
  <c r="AH46" i="9" s="1"/>
  <c r="AI46" i="9" s="1"/>
  <c r="AK46" i="9" s="1"/>
  <c r="L46" i="9"/>
  <c r="L21" i="12"/>
  <c r="M21" i="12"/>
  <c r="AD21" i="12" s="1"/>
  <c r="AH21" i="12" s="1"/>
  <c r="AI21" i="12" s="1"/>
  <c r="AK21" i="12" s="1"/>
  <c r="L37" i="12"/>
  <c r="M37" i="12"/>
  <c r="AD37" i="12" s="1"/>
  <c r="AH37" i="12" s="1"/>
  <c r="AI37" i="12" s="1"/>
  <c r="AK37" i="12" s="1"/>
  <c r="M40" i="12"/>
  <c r="AD40" i="12" s="1"/>
  <c r="AH40" i="12" s="1"/>
  <c r="AI40" i="12" s="1"/>
  <c r="AK40" i="12" s="1"/>
  <c r="L40" i="12"/>
  <c r="I8" i="18"/>
  <c r="I18" i="18"/>
  <c r="I23" i="18"/>
  <c r="I28" i="18"/>
  <c r="H30" i="18"/>
  <c r="I33" i="18"/>
  <c r="H35" i="18"/>
  <c r="I38" i="18"/>
  <c r="H50" i="18"/>
  <c r="I52" i="18"/>
  <c r="I56" i="18"/>
  <c r="H58" i="18"/>
  <c r="I63" i="18"/>
  <c r="I67" i="18"/>
  <c r="H71" i="18"/>
  <c r="H73" i="18"/>
  <c r="J73" i="18" s="1"/>
  <c r="I30" i="5"/>
  <c r="H32" i="5"/>
  <c r="I37" i="5"/>
  <c r="H41" i="5"/>
  <c r="I46" i="5"/>
  <c r="K16" i="6"/>
  <c r="L16" i="6" s="1"/>
  <c r="K32" i="6"/>
  <c r="L32" i="6" s="1"/>
  <c r="K48" i="6"/>
  <c r="L48" i="6" s="1"/>
  <c r="E77" i="7"/>
  <c r="AL76" i="9"/>
  <c r="AO4" i="9"/>
  <c r="AO76" i="9" s="1"/>
  <c r="M64" i="9"/>
  <c r="AD64" i="9" s="1"/>
  <c r="AH64" i="9" s="1"/>
  <c r="AI64" i="9" s="1"/>
  <c r="AK64" i="9" s="1"/>
  <c r="L64" i="9"/>
  <c r="M71" i="9"/>
  <c r="AD71" i="9" s="1"/>
  <c r="AH71" i="9" s="1"/>
  <c r="AI71" i="9" s="1"/>
  <c r="AK71" i="9" s="1"/>
  <c r="L71" i="9"/>
  <c r="O37" i="9"/>
  <c r="P37" i="9" s="1"/>
  <c r="Q37" i="9" s="1"/>
  <c r="O5" i="9"/>
  <c r="P5" i="9" s="1"/>
  <c r="Q5" i="9" s="1"/>
  <c r="M32" i="9"/>
  <c r="AD32" i="9" s="1"/>
  <c r="AH32" i="9" s="1"/>
  <c r="AI32" i="9" s="1"/>
  <c r="AK32" i="9" s="1"/>
  <c r="L32" i="9"/>
  <c r="M60" i="9"/>
  <c r="AD60" i="9" s="1"/>
  <c r="AH60" i="9" s="1"/>
  <c r="AI60" i="9" s="1"/>
  <c r="AK60" i="9" s="1"/>
  <c r="L60" i="9"/>
  <c r="L29" i="12"/>
  <c r="M29" i="12"/>
  <c r="AD29" i="12" s="1"/>
  <c r="AH29" i="12" s="1"/>
  <c r="AI29" i="12" s="1"/>
  <c r="AK29" i="12" s="1"/>
  <c r="I5" i="18"/>
  <c r="I9" i="18"/>
  <c r="H11" i="18"/>
  <c r="I43" i="18"/>
  <c r="H49" i="18"/>
  <c r="I53" i="18"/>
  <c r="H59" i="18"/>
  <c r="I62" i="18"/>
  <c r="I66" i="18"/>
  <c r="I68" i="18"/>
  <c r="H72" i="18"/>
  <c r="H4" i="5"/>
  <c r="I7" i="5"/>
  <c r="H8" i="5"/>
  <c r="I11" i="5"/>
  <c r="H12" i="5"/>
  <c r="I15" i="5"/>
  <c r="H16" i="5"/>
  <c r="I19" i="5"/>
  <c r="H20" i="5"/>
  <c r="I23" i="5"/>
  <c r="H24" i="5"/>
  <c r="I29" i="5"/>
  <c r="H33" i="5"/>
  <c r="I38" i="5"/>
  <c r="H40" i="5"/>
  <c r="I45" i="5"/>
  <c r="I79" i="6"/>
  <c r="K8" i="6"/>
  <c r="L8" i="6" s="1"/>
  <c r="K24" i="6"/>
  <c r="L24" i="6" s="1"/>
  <c r="K40" i="6"/>
  <c r="L40" i="6" s="1"/>
  <c r="K56" i="6"/>
  <c r="L56" i="6" s="1"/>
  <c r="C77" i="7"/>
  <c r="M35" i="9"/>
  <c r="AD35" i="9" s="1"/>
  <c r="AH35" i="9" s="1"/>
  <c r="AI35" i="9" s="1"/>
  <c r="AK35" i="9" s="1"/>
  <c r="L35" i="9"/>
  <c r="L52" i="9"/>
  <c r="M52" i="9"/>
  <c r="AD52" i="9" s="1"/>
  <c r="AH52" i="9" s="1"/>
  <c r="AI52" i="9" s="1"/>
  <c r="AK52" i="9" s="1"/>
  <c r="M65" i="9"/>
  <c r="AD65" i="9" s="1"/>
  <c r="AH65" i="9" s="1"/>
  <c r="AI65" i="9" s="1"/>
  <c r="AK65" i="9" s="1"/>
  <c r="L65" i="9"/>
  <c r="M72" i="9"/>
  <c r="AD72" i="9" s="1"/>
  <c r="AH72" i="9" s="1"/>
  <c r="AI72" i="9" s="1"/>
  <c r="AK72" i="9" s="1"/>
  <c r="L72" i="9"/>
  <c r="AF76" i="9"/>
  <c r="AF79" i="9" s="1"/>
  <c r="I76" i="9"/>
  <c r="AC76" i="12"/>
  <c r="J76" i="12"/>
  <c r="AD5" i="9"/>
  <c r="AH5" i="9" s="1"/>
  <c r="AI5" i="9" s="1"/>
  <c r="AK5" i="9" s="1"/>
  <c r="M8" i="9"/>
  <c r="AD8" i="9" s="1"/>
  <c r="AH8" i="9" s="1"/>
  <c r="AI8" i="9" s="1"/>
  <c r="AK8" i="9" s="1"/>
  <c r="AM8" i="9" s="1"/>
  <c r="AD11" i="9"/>
  <c r="AH11" i="9" s="1"/>
  <c r="AI11" i="9" s="1"/>
  <c r="AK11" i="9" s="1"/>
  <c r="AM11" i="9" s="1"/>
  <c r="M19" i="9"/>
  <c r="AD19" i="9" s="1"/>
  <c r="AH19" i="9" s="1"/>
  <c r="AI19" i="9" s="1"/>
  <c r="AK19" i="9" s="1"/>
  <c r="L48" i="9"/>
  <c r="L49" i="9"/>
  <c r="L50" i="9"/>
  <c r="M57" i="9"/>
  <c r="AD57" i="9" s="1"/>
  <c r="AH57" i="9" s="1"/>
  <c r="AI57" i="9" s="1"/>
  <c r="AK57" i="9" s="1"/>
  <c r="L67" i="9"/>
  <c r="L74" i="9"/>
  <c r="K76" i="12"/>
  <c r="L76" i="12" s="1"/>
  <c r="AL76" i="12"/>
  <c r="M17" i="12"/>
  <c r="AD17" i="12" s="1"/>
  <c r="AH17" i="12" s="1"/>
  <c r="AI17" i="12" s="1"/>
  <c r="AK17" i="12" s="1"/>
  <c r="M25" i="12"/>
  <c r="AD25" i="12" s="1"/>
  <c r="AH25" i="12" s="1"/>
  <c r="AI25" i="12" s="1"/>
  <c r="AK25" i="12" s="1"/>
  <c r="M33" i="12"/>
  <c r="AD33" i="12" s="1"/>
  <c r="AH33" i="12" s="1"/>
  <c r="AI33" i="12" s="1"/>
  <c r="AK33" i="12" s="1"/>
  <c r="L43" i="12"/>
  <c r="L54" i="12"/>
  <c r="L55" i="12"/>
  <c r="M58" i="12"/>
  <c r="AD58" i="12" s="1"/>
  <c r="AH58" i="12" s="1"/>
  <c r="AI58" i="12" s="1"/>
  <c r="AK58" i="12" s="1"/>
  <c r="L62" i="12"/>
  <c r="AC76" i="14"/>
  <c r="M7" i="14"/>
  <c r="AD7" i="14" s="1"/>
  <c r="L9" i="14"/>
  <c r="L13" i="14"/>
  <c r="L14" i="14"/>
  <c r="L18" i="14"/>
  <c r="L22" i="14"/>
  <c r="M25" i="14"/>
  <c r="AD25" i="14" s="1"/>
  <c r="L31" i="14"/>
  <c r="M34" i="14"/>
  <c r="AD34" i="14" s="1"/>
  <c r="L37" i="14"/>
  <c r="M43" i="14"/>
  <c r="AD43" i="14" s="1"/>
  <c r="M47" i="14"/>
  <c r="AD47" i="14" s="1"/>
  <c r="M48" i="14"/>
  <c r="AD48" i="14" s="1"/>
  <c r="M73" i="14"/>
  <c r="AD73" i="14" s="1"/>
  <c r="I76" i="14"/>
  <c r="P5" i="16"/>
  <c r="P7" i="16" s="1"/>
  <c r="P10" i="16" s="1"/>
  <c r="P5" i="19"/>
  <c r="H21" i="19"/>
  <c r="I21" i="19" s="1"/>
  <c r="P26" i="19"/>
  <c r="H28" i="19"/>
  <c r="I28" i="19" s="1"/>
  <c r="H32" i="19"/>
  <c r="I32" i="19" s="1"/>
  <c r="P45" i="19"/>
  <c r="H47" i="19"/>
  <c r="I47" i="19" s="1"/>
  <c r="H51" i="19"/>
  <c r="I51" i="19" s="1"/>
  <c r="P56" i="19"/>
  <c r="X74" i="26"/>
  <c r="P6" i="19"/>
  <c r="P16" i="19"/>
  <c r="P53" i="19"/>
  <c r="M50" i="12"/>
  <c r="AD50" i="12" s="1"/>
  <c r="AH50" i="12" s="1"/>
  <c r="AI50" i="12" s="1"/>
  <c r="AK50" i="12" s="1"/>
  <c r="L60" i="12"/>
  <c r="M64" i="12"/>
  <c r="AD64" i="12" s="1"/>
  <c r="AH64" i="12" s="1"/>
  <c r="AI64" i="12" s="1"/>
  <c r="AK64" i="12" s="1"/>
  <c r="L72" i="12"/>
  <c r="L75" i="12"/>
  <c r="I76" i="12"/>
  <c r="AN76" i="14"/>
  <c r="AN77" i="14" s="1"/>
  <c r="AD5" i="14"/>
  <c r="AJ5" i="14" s="1"/>
  <c r="AK5" i="14" s="1"/>
  <c r="AM5" i="14" s="1"/>
  <c r="L11" i="14"/>
  <c r="L29" i="14"/>
  <c r="L39" i="14"/>
  <c r="M60" i="14"/>
  <c r="AD60" i="14" s="1"/>
  <c r="P7" i="19"/>
  <c r="K8" i="19"/>
  <c r="P19" i="19"/>
  <c r="H23" i="19"/>
  <c r="I23" i="19" s="1"/>
  <c r="P27" i="19"/>
  <c r="H30" i="19"/>
  <c r="I30" i="19" s="1"/>
  <c r="P31" i="19"/>
  <c r="H34" i="19"/>
  <c r="I34" i="19" s="1"/>
  <c r="P38" i="19"/>
  <c r="P42" i="19"/>
  <c r="P46" i="19"/>
  <c r="H49" i="19"/>
  <c r="I49" i="19" s="1"/>
  <c r="P50" i="19"/>
  <c r="P57" i="19"/>
  <c r="H60" i="19"/>
  <c r="I60" i="19" s="1"/>
  <c r="X58" i="26"/>
  <c r="L26" i="14"/>
  <c r="F76" i="14"/>
  <c r="H7" i="19"/>
  <c r="I7" i="19" s="1"/>
  <c r="P14" i="19"/>
  <c r="H17" i="19"/>
  <c r="I17" i="19" s="1"/>
  <c r="H19" i="19"/>
  <c r="I19" i="19" s="1"/>
  <c r="P39" i="19"/>
  <c r="H42" i="19"/>
  <c r="I42" i="19" s="1"/>
  <c r="G75" i="18"/>
  <c r="I4" i="18"/>
  <c r="H4" i="18"/>
  <c r="H8" i="18"/>
  <c r="H9" i="18"/>
  <c r="I13" i="18"/>
  <c r="I14" i="18"/>
  <c r="H15" i="18"/>
  <c r="H16" i="18"/>
  <c r="H17" i="18"/>
  <c r="I21" i="18"/>
  <c r="H22" i="18"/>
  <c r="I26" i="18"/>
  <c r="I27" i="18"/>
  <c r="H28" i="18"/>
  <c r="I32" i="18"/>
  <c r="H33" i="18"/>
  <c r="H37" i="18"/>
  <c r="H43" i="18"/>
  <c r="H56" i="18"/>
  <c r="H61" i="18"/>
  <c r="H66" i="18"/>
  <c r="H67" i="18"/>
  <c r="H68" i="18"/>
  <c r="F76" i="5"/>
  <c r="H6" i="5"/>
  <c r="H10" i="5"/>
  <c r="H14" i="5"/>
  <c r="H18" i="5"/>
  <c r="H22" i="5"/>
  <c r="H26" i="5"/>
  <c r="H27" i="5"/>
  <c r="H31" i="5"/>
  <c r="H35" i="5"/>
  <c r="H39" i="5"/>
  <c r="H43" i="5"/>
  <c r="H5" i="18"/>
  <c r="H10" i="18"/>
  <c r="H18" i="18"/>
  <c r="H23" i="18"/>
  <c r="H29" i="18"/>
  <c r="H34" i="18"/>
  <c r="H38" i="18"/>
  <c r="H44" i="18"/>
  <c r="H45" i="18"/>
  <c r="H46" i="18"/>
  <c r="H47" i="18"/>
  <c r="H48" i="18"/>
  <c r="H52" i="18"/>
  <c r="H53" i="18"/>
  <c r="H57" i="18"/>
  <c r="H62" i="18"/>
  <c r="H63" i="18"/>
  <c r="H69" i="18"/>
  <c r="H70" i="18"/>
  <c r="J70" i="18" s="1"/>
  <c r="F75" i="18"/>
  <c r="G76" i="5"/>
  <c r="I27" i="5"/>
  <c r="I31" i="5"/>
  <c r="I35" i="5"/>
  <c r="I39" i="5"/>
  <c r="I43" i="5"/>
  <c r="I47" i="5"/>
  <c r="J47" i="5" s="1"/>
  <c r="I48" i="5"/>
  <c r="I50" i="5"/>
  <c r="I52" i="5"/>
  <c r="I54" i="5"/>
  <c r="I56" i="5"/>
  <c r="I58" i="5"/>
  <c r="I60" i="5"/>
  <c r="I62" i="5"/>
  <c r="I64" i="5"/>
  <c r="I66" i="5"/>
  <c r="I68" i="5"/>
  <c r="I70" i="5"/>
  <c r="I72" i="5"/>
  <c r="J6" i="6"/>
  <c r="K6" i="6" s="1"/>
  <c r="L6" i="6" s="1"/>
  <c r="J10" i="6"/>
  <c r="K10" i="6" s="1"/>
  <c r="L10" i="6" s="1"/>
  <c r="J14" i="6"/>
  <c r="K14" i="6" s="1"/>
  <c r="L14" i="6" s="1"/>
  <c r="J18" i="6"/>
  <c r="K18" i="6" s="1"/>
  <c r="L18" i="6" s="1"/>
  <c r="J22" i="6"/>
  <c r="K22" i="6" s="1"/>
  <c r="L22" i="6" s="1"/>
  <c r="J26" i="6"/>
  <c r="K26" i="6" s="1"/>
  <c r="L26" i="6" s="1"/>
  <c r="J30" i="6"/>
  <c r="K30" i="6" s="1"/>
  <c r="L30" i="6" s="1"/>
  <c r="J34" i="6"/>
  <c r="K34" i="6" s="1"/>
  <c r="L34" i="6" s="1"/>
  <c r="J38" i="6"/>
  <c r="K38" i="6" s="1"/>
  <c r="L38" i="6" s="1"/>
  <c r="J42" i="6"/>
  <c r="K42" i="6" s="1"/>
  <c r="L42" i="6" s="1"/>
  <c r="J46" i="6"/>
  <c r="K46" i="6" s="1"/>
  <c r="L46" i="6" s="1"/>
  <c r="J50" i="6"/>
  <c r="K50" i="6" s="1"/>
  <c r="L50" i="6" s="1"/>
  <c r="J54" i="6"/>
  <c r="K54" i="6" s="1"/>
  <c r="L54" i="6" s="1"/>
  <c r="J58" i="6"/>
  <c r="K58" i="6" s="1"/>
  <c r="L58" i="6" s="1"/>
  <c r="I28" i="5"/>
  <c r="I32" i="5"/>
  <c r="I36" i="5"/>
  <c r="I40" i="5"/>
  <c r="I44" i="5"/>
  <c r="I49" i="5"/>
  <c r="I51" i="5"/>
  <c r="I53" i="5"/>
  <c r="I55" i="5"/>
  <c r="I57" i="5"/>
  <c r="I59" i="5"/>
  <c r="I61" i="5"/>
  <c r="I63" i="5"/>
  <c r="I65" i="5"/>
  <c r="I67" i="5"/>
  <c r="I69" i="5"/>
  <c r="I71" i="5"/>
  <c r="I75" i="5"/>
  <c r="H7" i="18"/>
  <c r="H12" i="18"/>
  <c r="H13" i="18"/>
  <c r="H14" i="18"/>
  <c r="H20" i="18"/>
  <c r="H21" i="18"/>
  <c r="H25" i="18"/>
  <c r="H26" i="18"/>
  <c r="H27" i="18"/>
  <c r="H31" i="18"/>
  <c r="H32" i="18"/>
  <c r="H36" i="18"/>
  <c r="I40" i="18"/>
  <c r="I41" i="18"/>
  <c r="H42" i="18"/>
  <c r="I50" i="18"/>
  <c r="H51" i="18"/>
  <c r="H55" i="18"/>
  <c r="I59" i="18"/>
  <c r="H60" i="18"/>
  <c r="H65" i="18"/>
  <c r="I72" i="18"/>
  <c r="H74" i="5"/>
  <c r="H69" i="5"/>
  <c r="H65" i="5"/>
  <c r="H61" i="5"/>
  <c r="H57" i="5"/>
  <c r="H53" i="5"/>
  <c r="H49" i="5"/>
  <c r="H73" i="5"/>
  <c r="J73" i="5" s="1"/>
  <c r="H72" i="5"/>
  <c r="H68" i="5"/>
  <c r="H64" i="5"/>
  <c r="H60" i="5"/>
  <c r="H56" i="5"/>
  <c r="H52" i="5"/>
  <c r="H48" i="5"/>
  <c r="H75" i="5"/>
  <c r="H70" i="5"/>
  <c r="H66" i="5"/>
  <c r="H62" i="5"/>
  <c r="H58" i="5"/>
  <c r="H54" i="5"/>
  <c r="H50" i="5"/>
  <c r="H46" i="5"/>
  <c r="H42" i="5"/>
  <c r="H38" i="5"/>
  <c r="H34" i="5"/>
  <c r="H30" i="5"/>
  <c r="I4" i="5"/>
  <c r="H5" i="5"/>
  <c r="H9" i="5"/>
  <c r="H13" i="5"/>
  <c r="H17" i="5"/>
  <c r="H21" i="5"/>
  <c r="H25" i="5"/>
  <c r="H51" i="5"/>
  <c r="H55" i="5"/>
  <c r="H59" i="5"/>
  <c r="H63" i="5"/>
  <c r="H67" i="5"/>
  <c r="H71" i="5"/>
  <c r="I74" i="5"/>
  <c r="C79" i="6"/>
  <c r="D5" i="6"/>
  <c r="D79" i="6" s="1"/>
  <c r="K9" i="6"/>
  <c r="L9" i="6" s="1"/>
  <c r="K13" i="6"/>
  <c r="L13" i="6" s="1"/>
  <c r="K17" i="6"/>
  <c r="L17" i="6" s="1"/>
  <c r="K21" i="6"/>
  <c r="L21" i="6" s="1"/>
  <c r="K25" i="6"/>
  <c r="L25" i="6" s="1"/>
  <c r="K29" i="6"/>
  <c r="L29" i="6" s="1"/>
  <c r="K33" i="6"/>
  <c r="L33" i="6" s="1"/>
  <c r="K37" i="6"/>
  <c r="L37" i="6" s="1"/>
  <c r="K41" i="6"/>
  <c r="L41" i="6" s="1"/>
  <c r="K45" i="6"/>
  <c r="L45" i="6" s="1"/>
  <c r="K49" i="6"/>
  <c r="L49" i="6" s="1"/>
  <c r="K53" i="6"/>
  <c r="L53" i="6" s="1"/>
  <c r="K57" i="6"/>
  <c r="L57" i="6" s="1"/>
  <c r="K61" i="6"/>
  <c r="L61" i="6" s="1"/>
  <c r="K65" i="6"/>
  <c r="L65" i="6" s="1"/>
  <c r="K69" i="6"/>
  <c r="L69" i="6" s="1"/>
  <c r="K73" i="6"/>
  <c r="L73" i="6" s="1"/>
  <c r="K77" i="6"/>
  <c r="L77" i="6" s="1"/>
  <c r="J5" i="7"/>
  <c r="AD75" i="9"/>
  <c r="AH75" i="9" s="1"/>
  <c r="AI75" i="9" s="1"/>
  <c r="AK75" i="9" s="1"/>
  <c r="AD69" i="9"/>
  <c r="AH69" i="9" s="1"/>
  <c r="AI69" i="9" s="1"/>
  <c r="AK69" i="9" s="1"/>
  <c r="AD68" i="9"/>
  <c r="AH68" i="9" s="1"/>
  <c r="AI68" i="9" s="1"/>
  <c r="AK68" i="9" s="1"/>
  <c r="AD66" i="9"/>
  <c r="AH66" i="9" s="1"/>
  <c r="AI66" i="9" s="1"/>
  <c r="AK66" i="9" s="1"/>
  <c r="AD63" i="9"/>
  <c r="AH63" i="9" s="1"/>
  <c r="AI63" i="9" s="1"/>
  <c r="AK63" i="9" s="1"/>
  <c r="AD56" i="9"/>
  <c r="AH56" i="9" s="1"/>
  <c r="AI56" i="9" s="1"/>
  <c r="AK56" i="9" s="1"/>
  <c r="AD54" i="9"/>
  <c r="AH54" i="9" s="1"/>
  <c r="AI54" i="9" s="1"/>
  <c r="AK54" i="9" s="1"/>
  <c r="AD51" i="9"/>
  <c r="AH51" i="9" s="1"/>
  <c r="AI51" i="9" s="1"/>
  <c r="AK51" i="9" s="1"/>
  <c r="AD59" i="9"/>
  <c r="AH59" i="9" s="1"/>
  <c r="AI59" i="9" s="1"/>
  <c r="AK59" i="9" s="1"/>
  <c r="AD49" i="9"/>
  <c r="AH49" i="9" s="1"/>
  <c r="AI49" i="9" s="1"/>
  <c r="AK49" i="9" s="1"/>
  <c r="AD47" i="9"/>
  <c r="AH47" i="9" s="1"/>
  <c r="AI47" i="9" s="1"/>
  <c r="AK47" i="9" s="1"/>
  <c r="AD45" i="9"/>
  <c r="AH45" i="9" s="1"/>
  <c r="AI45" i="9" s="1"/>
  <c r="AK45" i="9" s="1"/>
  <c r="AD42" i="9"/>
  <c r="AH42" i="9" s="1"/>
  <c r="AI42" i="9" s="1"/>
  <c r="AK42" i="9" s="1"/>
  <c r="AD30" i="9"/>
  <c r="AH30" i="9" s="1"/>
  <c r="AI30" i="9" s="1"/>
  <c r="AK30" i="9" s="1"/>
  <c r="L79" i="9"/>
  <c r="AD74" i="9"/>
  <c r="AH74" i="9" s="1"/>
  <c r="AI74" i="9" s="1"/>
  <c r="AK74" i="9" s="1"/>
  <c r="AD58" i="9"/>
  <c r="AH58" i="9" s="1"/>
  <c r="AI58" i="9" s="1"/>
  <c r="AK58" i="9" s="1"/>
  <c r="AD53" i="9"/>
  <c r="AH53" i="9" s="1"/>
  <c r="AI53" i="9" s="1"/>
  <c r="AK53" i="9" s="1"/>
  <c r="AD50" i="9"/>
  <c r="AH50" i="9" s="1"/>
  <c r="AI50" i="9" s="1"/>
  <c r="AK50" i="9" s="1"/>
  <c r="AD48" i="9"/>
  <c r="AH48" i="9" s="1"/>
  <c r="AI48" i="9" s="1"/>
  <c r="AK48" i="9" s="1"/>
  <c r="AD43" i="9"/>
  <c r="AH43" i="9" s="1"/>
  <c r="AI43" i="9" s="1"/>
  <c r="AK43" i="9" s="1"/>
  <c r="AD29" i="9"/>
  <c r="AH29" i="9" s="1"/>
  <c r="AI29" i="9" s="1"/>
  <c r="AK29" i="9" s="1"/>
  <c r="K76" i="9"/>
  <c r="L76" i="9" s="1"/>
  <c r="L78" i="9" s="1"/>
  <c r="AJ4" i="9"/>
  <c r="O6" i="9"/>
  <c r="AJ7" i="9"/>
  <c r="M9" i="9"/>
  <c r="AD9" i="9" s="1"/>
  <c r="AH9" i="9" s="1"/>
  <c r="AI9" i="9" s="1"/>
  <c r="AK9" i="9" s="1"/>
  <c r="O11" i="9"/>
  <c r="M13" i="9"/>
  <c r="AD13" i="9" s="1"/>
  <c r="AH13" i="9" s="1"/>
  <c r="AI13" i="9" s="1"/>
  <c r="AK13" i="9" s="1"/>
  <c r="O14" i="9"/>
  <c r="AD15" i="9"/>
  <c r="AH15" i="9" s="1"/>
  <c r="AI15" i="9" s="1"/>
  <c r="AK15" i="9" s="1"/>
  <c r="AJ15" i="9"/>
  <c r="M16" i="9"/>
  <c r="AD16" i="9" s="1"/>
  <c r="AH16" i="9" s="1"/>
  <c r="AI16" i="9" s="1"/>
  <c r="AK16" i="9" s="1"/>
  <c r="O17" i="9"/>
  <c r="AJ18" i="9"/>
  <c r="M20" i="9"/>
  <c r="AD20" i="9" s="1"/>
  <c r="AH20" i="9" s="1"/>
  <c r="AI20" i="9" s="1"/>
  <c r="AK20" i="9" s="1"/>
  <c r="AD21" i="9"/>
  <c r="AH21" i="9" s="1"/>
  <c r="AI21" i="9" s="1"/>
  <c r="AK21" i="9" s="1"/>
  <c r="AJ21" i="9"/>
  <c r="O23" i="9"/>
  <c r="AD24" i="9"/>
  <c r="AH24" i="9" s="1"/>
  <c r="AI24" i="9" s="1"/>
  <c r="AK24" i="9" s="1"/>
  <c r="AJ24" i="9"/>
  <c r="M25" i="9"/>
  <c r="AD25" i="9" s="1"/>
  <c r="AH25" i="9" s="1"/>
  <c r="AI25" i="9" s="1"/>
  <c r="AK25" i="9" s="1"/>
  <c r="AJ26" i="9"/>
  <c r="O35" i="9"/>
  <c r="AJ39" i="9"/>
  <c r="O41" i="9"/>
  <c r="AJ42" i="9"/>
  <c r="M44" i="9"/>
  <c r="AD44" i="9" s="1"/>
  <c r="AH44" i="9" s="1"/>
  <c r="AI44" i="9" s="1"/>
  <c r="AK44" i="9" s="1"/>
  <c r="L44" i="9"/>
  <c r="O46" i="9"/>
  <c r="T71" i="9"/>
  <c r="O9" i="9"/>
  <c r="O13" i="9"/>
  <c r="AD14" i="9"/>
  <c r="AH14" i="9" s="1"/>
  <c r="AI14" i="9" s="1"/>
  <c r="AK14" i="9" s="1"/>
  <c r="O16" i="9"/>
  <c r="AD17" i="9"/>
  <c r="AH17" i="9" s="1"/>
  <c r="AI17" i="9" s="1"/>
  <c r="AK17" i="9" s="1"/>
  <c r="O20" i="9"/>
  <c r="AD23" i="9"/>
  <c r="AH23" i="9" s="1"/>
  <c r="AI23" i="9" s="1"/>
  <c r="AK23" i="9" s="1"/>
  <c r="O25" i="9"/>
  <c r="AD26" i="9"/>
  <c r="AH26" i="9" s="1"/>
  <c r="AI26" i="9" s="1"/>
  <c r="AK26" i="9" s="1"/>
  <c r="M38" i="9"/>
  <c r="AD38" i="9" s="1"/>
  <c r="AH38" i="9" s="1"/>
  <c r="AI38" i="9" s="1"/>
  <c r="AK38" i="9" s="1"/>
  <c r="L38" i="9"/>
  <c r="O43" i="9"/>
  <c r="V82" i="9"/>
  <c r="J62" i="6"/>
  <c r="K62" i="6" s="1"/>
  <c r="L62" i="6" s="1"/>
  <c r="J66" i="6"/>
  <c r="K66" i="6" s="1"/>
  <c r="L66" i="6" s="1"/>
  <c r="J70" i="6"/>
  <c r="K70" i="6" s="1"/>
  <c r="L70" i="6" s="1"/>
  <c r="J74" i="6"/>
  <c r="K74" i="6" s="1"/>
  <c r="L74" i="6" s="1"/>
  <c r="J78" i="6"/>
  <c r="K78" i="6" s="1"/>
  <c r="L78" i="6" s="1"/>
  <c r="L6" i="9"/>
  <c r="O8" i="9"/>
  <c r="L11" i="9"/>
  <c r="O12" i="9"/>
  <c r="L14" i="9"/>
  <c r="L17" i="9"/>
  <c r="O19" i="9"/>
  <c r="O22" i="9"/>
  <c r="L23" i="9"/>
  <c r="M28" i="9"/>
  <c r="M31" i="9"/>
  <c r="AD31" i="9" s="1"/>
  <c r="AH31" i="9" s="1"/>
  <c r="AI31" i="9" s="1"/>
  <c r="AK31" i="9" s="1"/>
  <c r="M33" i="9"/>
  <c r="AD33" i="9" s="1"/>
  <c r="AH33" i="9" s="1"/>
  <c r="AI33" i="9" s="1"/>
  <c r="AK33" i="9" s="1"/>
  <c r="J5" i="6"/>
  <c r="O74" i="9"/>
  <c r="O71" i="9"/>
  <c r="O65" i="9"/>
  <c r="O60" i="9"/>
  <c r="O58" i="9"/>
  <c r="O53" i="9"/>
  <c r="O50" i="9"/>
  <c r="O48" i="9"/>
  <c r="O75" i="9"/>
  <c r="O69" i="9"/>
  <c r="O68" i="9"/>
  <c r="O66" i="9"/>
  <c r="O63" i="9"/>
  <c r="O56" i="9"/>
  <c r="O54" i="9"/>
  <c r="O51" i="9"/>
  <c r="O44" i="9"/>
  <c r="O38" i="9"/>
  <c r="O33" i="9"/>
  <c r="O26" i="9"/>
  <c r="O72" i="9"/>
  <c r="O67" i="9"/>
  <c r="O64" i="9"/>
  <c r="O59" i="9"/>
  <c r="O49" i="9"/>
  <c r="O47" i="9"/>
  <c r="O45" i="9"/>
  <c r="O42" i="9"/>
  <c r="O39" i="9"/>
  <c r="O73" i="9"/>
  <c r="O70" i="9"/>
  <c r="O62" i="9"/>
  <c r="O57" i="9"/>
  <c r="O55" i="9"/>
  <c r="O52" i="9"/>
  <c r="O40" i="9"/>
  <c r="O36" i="9"/>
  <c r="O34" i="9"/>
  <c r="O31" i="9"/>
  <c r="O28" i="9"/>
  <c r="J76" i="9"/>
  <c r="O4" i="9"/>
  <c r="AC76" i="9"/>
  <c r="O7" i="9"/>
  <c r="O10" i="9"/>
  <c r="O15" i="9"/>
  <c r="O18" i="9"/>
  <c r="O21" i="9"/>
  <c r="O24" i="9"/>
  <c r="O27" i="9"/>
  <c r="AJ27" i="9"/>
  <c r="O29" i="9"/>
  <c r="AJ29" i="9"/>
  <c r="O30" i="9"/>
  <c r="AJ30" i="9"/>
  <c r="O32" i="9"/>
  <c r="AJ32" i="9"/>
  <c r="M34" i="9"/>
  <c r="AD34" i="9" s="1"/>
  <c r="AH34" i="9" s="1"/>
  <c r="AI34" i="9" s="1"/>
  <c r="AK34" i="9" s="1"/>
  <c r="AM67" i="9"/>
  <c r="AN67" i="9"/>
  <c r="AP67" i="9" s="1"/>
  <c r="AQ67" i="9" s="1"/>
  <c r="AJ37" i="9"/>
  <c r="AJ43" i="9"/>
  <c r="AJ48" i="9"/>
  <c r="AJ50" i="9"/>
  <c r="L51" i="9"/>
  <c r="AJ53" i="9"/>
  <c r="L54" i="9"/>
  <c r="L56" i="9"/>
  <c r="AJ58" i="9"/>
  <c r="AJ60" i="9"/>
  <c r="AH61" i="9"/>
  <c r="AI61" i="9" s="1"/>
  <c r="AK61" i="9" s="1"/>
  <c r="L63" i="9"/>
  <c r="AJ65" i="9"/>
  <c r="L66" i="9"/>
  <c r="AJ67" i="9"/>
  <c r="L68" i="9"/>
  <c r="AJ71" i="9"/>
  <c r="AJ74" i="9"/>
  <c r="L75" i="9"/>
  <c r="AD74" i="12"/>
  <c r="AH74" i="12" s="1"/>
  <c r="AI74" i="12" s="1"/>
  <c r="AK74" i="12" s="1"/>
  <c r="AD72" i="12"/>
  <c r="AH72" i="12" s="1"/>
  <c r="AI72" i="12" s="1"/>
  <c r="AK72" i="12" s="1"/>
  <c r="AD68" i="12"/>
  <c r="AH68" i="12" s="1"/>
  <c r="AI68" i="12" s="1"/>
  <c r="AK68" i="12" s="1"/>
  <c r="AD66" i="12"/>
  <c r="AH66" i="12" s="1"/>
  <c r="AI66" i="12" s="1"/>
  <c r="AK66" i="12" s="1"/>
  <c r="AD62" i="12"/>
  <c r="AH62" i="12" s="1"/>
  <c r="AI62" i="12" s="1"/>
  <c r="AK62" i="12" s="1"/>
  <c r="AD60" i="12"/>
  <c r="AH60" i="12" s="1"/>
  <c r="AI60" i="12" s="1"/>
  <c r="AK60" i="12" s="1"/>
  <c r="AD55" i="12"/>
  <c r="AH55" i="12" s="1"/>
  <c r="AI55" i="12" s="1"/>
  <c r="AK55" i="12" s="1"/>
  <c r="AD75" i="12"/>
  <c r="AH75" i="12" s="1"/>
  <c r="AI75" i="12" s="1"/>
  <c r="AK75" i="12" s="1"/>
  <c r="AD73" i="12"/>
  <c r="AH73" i="12" s="1"/>
  <c r="AI73" i="12" s="1"/>
  <c r="AK73" i="12" s="1"/>
  <c r="AD65" i="12"/>
  <c r="AH65" i="12" s="1"/>
  <c r="AI65" i="12" s="1"/>
  <c r="AK65" i="12" s="1"/>
  <c r="AD59" i="12"/>
  <c r="AH59" i="12" s="1"/>
  <c r="AI59" i="12" s="1"/>
  <c r="AK59" i="12" s="1"/>
  <c r="AD54" i="12"/>
  <c r="AH54" i="12" s="1"/>
  <c r="AI54" i="12" s="1"/>
  <c r="AK54" i="12" s="1"/>
  <c r="AD71" i="12"/>
  <c r="AH71" i="12" s="1"/>
  <c r="AI71" i="12" s="1"/>
  <c r="AK71" i="12" s="1"/>
  <c r="AD69" i="12"/>
  <c r="AH69" i="12" s="1"/>
  <c r="AI69" i="12" s="1"/>
  <c r="AK69" i="12" s="1"/>
  <c r="AD44" i="12"/>
  <c r="AH44" i="12" s="1"/>
  <c r="AI44" i="12" s="1"/>
  <c r="AK44" i="12" s="1"/>
  <c r="AD42" i="12"/>
  <c r="AH42" i="12" s="1"/>
  <c r="AI42" i="12" s="1"/>
  <c r="AK42" i="12" s="1"/>
  <c r="AD43" i="12"/>
  <c r="AH43" i="12" s="1"/>
  <c r="AI43" i="12" s="1"/>
  <c r="AK43" i="12" s="1"/>
  <c r="AD41" i="12"/>
  <c r="AH41" i="12" s="1"/>
  <c r="AI41" i="12" s="1"/>
  <c r="AK41" i="12" s="1"/>
  <c r="AO4" i="12"/>
  <c r="AO76" i="12" s="1"/>
  <c r="M5" i="12"/>
  <c r="AD5" i="12" s="1"/>
  <c r="AH5" i="12" s="1"/>
  <c r="AI5" i="12" s="1"/>
  <c r="AK5" i="12" s="1"/>
  <c r="AD6" i="12"/>
  <c r="AH6" i="12" s="1"/>
  <c r="AI6" i="12" s="1"/>
  <c r="AK6" i="12" s="1"/>
  <c r="M7" i="12"/>
  <c r="AD7" i="12" s="1"/>
  <c r="AH7" i="12" s="1"/>
  <c r="AI7" i="12" s="1"/>
  <c r="AK7" i="12" s="1"/>
  <c r="AD8" i="12"/>
  <c r="AH8" i="12" s="1"/>
  <c r="AI8" i="12" s="1"/>
  <c r="AK8" i="12" s="1"/>
  <c r="M9" i="12"/>
  <c r="AD9" i="12" s="1"/>
  <c r="AH9" i="12" s="1"/>
  <c r="AI9" i="12" s="1"/>
  <c r="AK9" i="12" s="1"/>
  <c r="AD10" i="12"/>
  <c r="AH10" i="12" s="1"/>
  <c r="AI10" i="12" s="1"/>
  <c r="AK10" i="12" s="1"/>
  <c r="M11" i="12"/>
  <c r="AD11" i="12" s="1"/>
  <c r="AH11" i="12" s="1"/>
  <c r="AI11" i="12" s="1"/>
  <c r="AK11" i="12" s="1"/>
  <c r="M13" i="12"/>
  <c r="AD13" i="12" s="1"/>
  <c r="AH13" i="12" s="1"/>
  <c r="AI13" i="12" s="1"/>
  <c r="AK13" i="12" s="1"/>
  <c r="L14" i="12"/>
  <c r="M14" i="12"/>
  <c r="AD14" i="12" s="1"/>
  <c r="AH14" i="12" s="1"/>
  <c r="AI14" i="12" s="1"/>
  <c r="AK14" i="12" s="1"/>
  <c r="O82" i="9"/>
  <c r="O84" i="9" s="1"/>
  <c r="O5" i="12"/>
  <c r="L6" i="12"/>
  <c r="O7" i="12"/>
  <c r="L8" i="12"/>
  <c r="O9" i="12"/>
  <c r="L10" i="12"/>
  <c r="O11" i="12"/>
  <c r="O13" i="12"/>
  <c r="T14" i="12"/>
  <c r="T30" i="12"/>
  <c r="O71" i="12"/>
  <c r="O69" i="12"/>
  <c r="O64" i="12"/>
  <c r="O58" i="12"/>
  <c r="O56" i="12"/>
  <c r="O52" i="12"/>
  <c r="O50" i="12"/>
  <c r="O48" i="12"/>
  <c r="O46" i="12"/>
  <c r="O74" i="12"/>
  <c r="O72" i="12"/>
  <c r="O68" i="12"/>
  <c r="O66" i="12"/>
  <c r="O62" i="12"/>
  <c r="O60" i="12"/>
  <c r="O55" i="12"/>
  <c r="O70" i="12"/>
  <c r="O67" i="12"/>
  <c r="O63" i="12"/>
  <c r="O57" i="12"/>
  <c r="O53" i="12"/>
  <c r="O51" i="12"/>
  <c r="O49" i="12"/>
  <c r="O47" i="12"/>
  <c r="O75" i="12"/>
  <c r="O73" i="12"/>
  <c r="O65" i="12"/>
  <c r="O59" i="12"/>
  <c r="O54" i="12"/>
  <c r="O39" i="12"/>
  <c r="O37" i="12"/>
  <c r="O35" i="12"/>
  <c r="O33" i="12"/>
  <c r="O31" i="12"/>
  <c r="O29" i="12"/>
  <c r="O27" i="12"/>
  <c r="O25" i="12"/>
  <c r="O23" i="12"/>
  <c r="O21" i="12"/>
  <c r="O19" i="12"/>
  <c r="O17" i="12"/>
  <c r="O15" i="12"/>
  <c r="T46" i="12"/>
  <c r="O44" i="12"/>
  <c r="O42" i="12"/>
  <c r="O40" i="12"/>
  <c r="O45" i="12"/>
  <c r="O38" i="12"/>
  <c r="O36" i="12"/>
  <c r="O34" i="12"/>
  <c r="O32" i="12"/>
  <c r="O30" i="12"/>
  <c r="O28" i="12"/>
  <c r="O26" i="12"/>
  <c r="O24" i="12"/>
  <c r="O22" i="12"/>
  <c r="O20" i="12"/>
  <c r="O18" i="12"/>
  <c r="O16" i="12"/>
  <c r="O14" i="12"/>
  <c r="O43" i="12"/>
  <c r="O41" i="12"/>
  <c r="O4" i="12"/>
  <c r="O6" i="12"/>
  <c r="O8" i="12"/>
  <c r="O10" i="12"/>
  <c r="O12" i="12"/>
  <c r="M16" i="12"/>
  <c r="AD16" i="12" s="1"/>
  <c r="AH16" i="12" s="1"/>
  <c r="AI16" i="12" s="1"/>
  <c r="AK16" i="12" s="1"/>
  <c r="M18" i="12"/>
  <c r="AD18" i="12" s="1"/>
  <c r="AH18" i="12" s="1"/>
  <c r="AI18" i="12" s="1"/>
  <c r="AK18" i="12" s="1"/>
  <c r="M20" i="12"/>
  <c r="AD20" i="12" s="1"/>
  <c r="AH20" i="12" s="1"/>
  <c r="AI20" i="12" s="1"/>
  <c r="AK20" i="12" s="1"/>
  <c r="M22" i="12"/>
  <c r="AD22" i="12" s="1"/>
  <c r="AH22" i="12" s="1"/>
  <c r="AI22" i="12" s="1"/>
  <c r="AK22" i="12" s="1"/>
  <c r="M24" i="12"/>
  <c r="AD24" i="12" s="1"/>
  <c r="AH24" i="12" s="1"/>
  <c r="AI24" i="12" s="1"/>
  <c r="AK24" i="12" s="1"/>
  <c r="M26" i="12"/>
  <c r="AD26" i="12" s="1"/>
  <c r="AH26" i="12" s="1"/>
  <c r="AI26" i="12" s="1"/>
  <c r="AK26" i="12" s="1"/>
  <c r="M28" i="12"/>
  <c r="AD28" i="12" s="1"/>
  <c r="AH28" i="12" s="1"/>
  <c r="AI28" i="12" s="1"/>
  <c r="AK28" i="12" s="1"/>
  <c r="M30" i="12"/>
  <c r="AD30" i="12" s="1"/>
  <c r="AH30" i="12" s="1"/>
  <c r="AI30" i="12" s="1"/>
  <c r="AK30" i="12" s="1"/>
  <c r="M32" i="12"/>
  <c r="AD32" i="12" s="1"/>
  <c r="AH32" i="12" s="1"/>
  <c r="AI32" i="12" s="1"/>
  <c r="AK32" i="12" s="1"/>
  <c r="M34" i="12"/>
  <c r="AD34" i="12" s="1"/>
  <c r="AH34" i="12" s="1"/>
  <c r="AI34" i="12" s="1"/>
  <c r="AK34" i="12" s="1"/>
  <c r="M36" i="12"/>
  <c r="AD36" i="12" s="1"/>
  <c r="AH36" i="12" s="1"/>
  <c r="AI36" i="12" s="1"/>
  <c r="AK36" i="12" s="1"/>
  <c r="M38" i="12"/>
  <c r="AD38" i="12" s="1"/>
  <c r="AH38" i="12" s="1"/>
  <c r="AI38" i="12" s="1"/>
  <c r="AK38" i="12" s="1"/>
  <c r="M45" i="12"/>
  <c r="AD45" i="12" s="1"/>
  <c r="AH45" i="12" s="1"/>
  <c r="AI45" i="12" s="1"/>
  <c r="AK45" i="12" s="1"/>
  <c r="T63" i="12"/>
  <c r="AM67" i="12"/>
  <c r="AN67" i="12"/>
  <c r="AP67" i="12" s="1"/>
  <c r="AQ67" i="12" s="1"/>
  <c r="M48" i="12"/>
  <c r="AD48" i="12" s="1"/>
  <c r="AH48" i="12" s="1"/>
  <c r="AI48" i="12" s="1"/>
  <c r="AK48" i="12" s="1"/>
  <c r="L49" i="12"/>
  <c r="M49" i="12"/>
  <c r="AD49" i="12" s="1"/>
  <c r="AH49" i="12" s="1"/>
  <c r="AI49" i="12" s="1"/>
  <c r="AK49" i="12" s="1"/>
  <c r="AM61" i="12"/>
  <c r="AN61" i="12"/>
  <c r="AP61" i="12" s="1"/>
  <c r="AQ61" i="12" s="1"/>
  <c r="V82" i="12"/>
  <c r="M46" i="12"/>
  <c r="AD46" i="12" s="1"/>
  <c r="AH46" i="12" s="1"/>
  <c r="AI46" i="12" s="1"/>
  <c r="AK46" i="12" s="1"/>
  <c r="M51" i="12"/>
  <c r="AD51" i="12" s="1"/>
  <c r="AH51" i="12" s="1"/>
  <c r="AI51" i="12" s="1"/>
  <c r="AK51" i="12" s="1"/>
  <c r="M53" i="12"/>
  <c r="AD53" i="12" s="1"/>
  <c r="AH53" i="12" s="1"/>
  <c r="AI53" i="12" s="1"/>
  <c r="AK53" i="12" s="1"/>
  <c r="M57" i="12"/>
  <c r="AD57" i="12" s="1"/>
  <c r="AH57" i="12" s="1"/>
  <c r="AI57" i="12" s="1"/>
  <c r="AK57" i="12" s="1"/>
  <c r="M63" i="12"/>
  <c r="AD63" i="12" s="1"/>
  <c r="AH63" i="12" s="1"/>
  <c r="AI63" i="12" s="1"/>
  <c r="AK63" i="12" s="1"/>
  <c r="M67" i="12"/>
  <c r="O82" i="12"/>
  <c r="O84" i="12" s="1"/>
  <c r="O74" i="14"/>
  <c r="O75" i="14"/>
  <c r="O72" i="14"/>
  <c r="O71" i="14"/>
  <c r="O70" i="14"/>
  <c r="O69" i="14"/>
  <c r="O68" i="14"/>
  <c r="O64" i="14"/>
  <c r="O73" i="14"/>
  <c r="O65" i="14"/>
  <c r="O67" i="14"/>
  <c r="O66" i="14"/>
  <c r="O63" i="14"/>
  <c r="O51" i="14"/>
  <c r="O60" i="14"/>
  <c r="O56" i="14"/>
  <c r="O52" i="14"/>
  <c r="O59" i="14"/>
  <c r="T58" i="14"/>
  <c r="O57" i="14"/>
  <c r="O54" i="14"/>
  <c r="O53" i="14"/>
  <c r="O62" i="14"/>
  <c r="O58" i="14"/>
  <c r="O55" i="14"/>
  <c r="O50" i="14"/>
  <c r="O49" i="14"/>
  <c r="O47" i="14"/>
  <c r="O43" i="14"/>
  <c r="O38" i="14"/>
  <c r="O34" i="14"/>
  <c r="O30" i="14"/>
  <c r="O45" i="14"/>
  <c r="O44" i="14"/>
  <c r="O40" i="14"/>
  <c r="O39" i="14"/>
  <c r="O35" i="14"/>
  <c r="O31" i="14"/>
  <c r="O41" i="14"/>
  <c r="O36" i="14"/>
  <c r="O32" i="14"/>
  <c r="O28" i="14"/>
  <c r="O48" i="14"/>
  <c r="O46" i="14"/>
  <c r="O42" i="14"/>
  <c r="O37" i="14"/>
  <c r="O33" i="14"/>
  <c r="O29" i="14"/>
  <c r="O25" i="14"/>
  <c r="O21" i="14"/>
  <c r="O17" i="14"/>
  <c r="O12" i="14"/>
  <c r="O8" i="14"/>
  <c r="O26" i="14"/>
  <c r="O22" i="14"/>
  <c r="O18" i="14"/>
  <c r="O14" i="14"/>
  <c r="O13" i="14"/>
  <c r="O27" i="14"/>
  <c r="O23" i="14"/>
  <c r="O19" i="14"/>
  <c r="O15" i="14"/>
  <c r="O10" i="14"/>
  <c r="O24" i="14"/>
  <c r="O20" i="14"/>
  <c r="O16" i="14"/>
  <c r="O11" i="14"/>
  <c r="O4" i="14"/>
  <c r="L71" i="12"/>
  <c r="R74" i="12"/>
  <c r="S74" i="12" s="1"/>
  <c r="T74" i="12" s="1"/>
  <c r="AJ75" i="12"/>
  <c r="AD75" i="14"/>
  <c r="AX75" i="14" s="1"/>
  <c r="AD59" i="14"/>
  <c r="AD70" i="14"/>
  <c r="AD69" i="14"/>
  <c r="AD61" i="14"/>
  <c r="AD71" i="14"/>
  <c r="AD66" i="14"/>
  <c r="AX66" i="14" s="1"/>
  <c r="AD63" i="14"/>
  <c r="AD62" i="14"/>
  <c r="AX62" i="14" s="1"/>
  <c r="AD68" i="14"/>
  <c r="AD67" i="14"/>
  <c r="AX67" i="14" s="1"/>
  <c r="AD56" i="14"/>
  <c r="AD52" i="14"/>
  <c r="AD58" i="14"/>
  <c r="AD55" i="14"/>
  <c r="AD50" i="14"/>
  <c r="AD44" i="14"/>
  <c r="AX44" i="14" s="1"/>
  <c r="AD39" i="14"/>
  <c r="AX39" i="14" s="1"/>
  <c r="AD35" i="14"/>
  <c r="AD31" i="14"/>
  <c r="AD46" i="14"/>
  <c r="AD42" i="14"/>
  <c r="AD37" i="14"/>
  <c r="AD33" i="14"/>
  <c r="AD29" i="14"/>
  <c r="AD26" i="14"/>
  <c r="AD22" i="14"/>
  <c r="AD18" i="14"/>
  <c r="AD14" i="14"/>
  <c r="AD13" i="14"/>
  <c r="AX13" i="14" s="1"/>
  <c r="AD9" i="14"/>
  <c r="AD24" i="14"/>
  <c r="AD16" i="14"/>
  <c r="AD11" i="14"/>
  <c r="AD12" i="14"/>
  <c r="K76" i="14"/>
  <c r="L76" i="14" s="1"/>
  <c r="AD4" i="14"/>
  <c r="AQ4" i="14"/>
  <c r="AQ76" i="14" s="1"/>
  <c r="L5" i="14"/>
  <c r="O7" i="14"/>
  <c r="M8" i="14"/>
  <c r="AD8" i="14" s="1"/>
  <c r="O6" i="14"/>
  <c r="O5" i="14"/>
  <c r="AD6" i="14"/>
  <c r="O9" i="14"/>
  <c r="M15" i="14"/>
  <c r="AD15" i="14" s="1"/>
  <c r="M19" i="14"/>
  <c r="AD19" i="14" s="1"/>
  <c r="M23" i="14"/>
  <c r="AD23" i="14" s="1"/>
  <c r="M27" i="14"/>
  <c r="AD27" i="14" s="1"/>
  <c r="L12" i="14"/>
  <c r="AL13" i="14"/>
  <c r="M32" i="14"/>
  <c r="AD32" i="14" s="1"/>
  <c r="M36" i="14"/>
  <c r="AD36" i="14" s="1"/>
  <c r="M41" i="14"/>
  <c r="AD41" i="14" s="1"/>
  <c r="L49" i="14"/>
  <c r="M49" i="14"/>
  <c r="AD49" i="14" s="1"/>
  <c r="M53" i="14"/>
  <c r="AD53" i="14" s="1"/>
  <c r="M54" i="14"/>
  <c r="AD54" i="14" s="1"/>
  <c r="AP55" i="14"/>
  <c r="AR55" i="14" s="1"/>
  <c r="AS55" i="14" s="1"/>
  <c r="M57" i="14"/>
  <c r="AD57" i="14" s="1"/>
  <c r="L50" i="14"/>
  <c r="L55" i="14"/>
  <c r="L58" i="14"/>
  <c r="M74" i="14"/>
  <c r="AD74" i="14" s="1"/>
  <c r="L74" i="14"/>
  <c r="P11" i="19"/>
  <c r="H11" i="19"/>
  <c r="I11" i="19" s="1"/>
  <c r="H55" i="19"/>
  <c r="I55" i="19" s="1"/>
  <c r="P55" i="19"/>
  <c r="L68" i="14"/>
  <c r="L71" i="14"/>
  <c r="AL75" i="14"/>
  <c r="P4" i="19"/>
  <c r="H4" i="19"/>
  <c r="I4" i="19" s="1"/>
  <c r="P8" i="19"/>
  <c r="H8" i="19"/>
  <c r="I8" i="19" s="1"/>
  <c r="L62" i="14"/>
  <c r="L63" i="14"/>
  <c r="L66" i="14"/>
  <c r="L67" i="14"/>
  <c r="L70" i="14"/>
  <c r="J73" i="19"/>
  <c r="J75" i="19" s="1"/>
  <c r="P9" i="19"/>
  <c r="H9" i="19"/>
  <c r="I9" i="19" s="1"/>
  <c r="H41" i="19"/>
  <c r="I41" i="19" s="1"/>
  <c r="P41" i="19"/>
  <c r="O6" i="16"/>
  <c r="Q6" i="16" s="1"/>
  <c r="M6" i="16"/>
  <c r="P10" i="19"/>
  <c r="H10" i="19"/>
  <c r="I10" i="19" s="1"/>
  <c r="F5" i="16"/>
  <c r="G6" i="16"/>
  <c r="I6" i="16" s="1"/>
  <c r="G73" i="19"/>
  <c r="P15" i="19"/>
  <c r="H29" i="19"/>
  <c r="I29" i="19" s="1"/>
  <c r="P29" i="19"/>
  <c r="H59" i="19"/>
  <c r="I59" i="19" s="1"/>
  <c r="P59" i="19"/>
  <c r="N12" i="25"/>
  <c r="M19" i="25"/>
  <c r="M20" i="25" s="1"/>
  <c r="M22" i="25" s="1"/>
  <c r="G5" i="16"/>
  <c r="H33" i="19"/>
  <c r="I33" i="19" s="1"/>
  <c r="P33" i="19"/>
  <c r="H44" i="19"/>
  <c r="I44" i="19" s="1"/>
  <c r="P44" i="19"/>
  <c r="C76" i="26"/>
  <c r="C79" i="26"/>
  <c r="P3" i="19"/>
  <c r="P20" i="19"/>
  <c r="P22" i="19"/>
  <c r="H37" i="19"/>
  <c r="I37" i="19" s="1"/>
  <c r="P37" i="19"/>
  <c r="H48" i="19"/>
  <c r="I48" i="19" s="1"/>
  <c r="P48" i="19"/>
  <c r="C75" i="19"/>
  <c r="E76" i="26"/>
  <c r="T58" i="26"/>
  <c r="T74" i="26" s="1"/>
  <c r="O3" i="26"/>
  <c r="M6" i="28" l="1"/>
  <c r="L75" i="28"/>
  <c r="C77" i="28"/>
  <c r="D78" i="28" s="1"/>
  <c r="M62" i="28"/>
  <c r="Q75" i="28"/>
  <c r="M37" i="28"/>
  <c r="M47" i="28"/>
  <c r="M75" i="28"/>
  <c r="J41" i="18"/>
  <c r="J12" i="18"/>
  <c r="J37" i="5"/>
  <c r="AN8" i="9"/>
  <c r="AP8" i="9" s="1"/>
  <c r="AQ8" i="9" s="1"/>
  <c r="J20" i="5"/>
  <c r="J35" i="18"/>
  <c r="J5" i="18"/>
  <c r="J56" i="18"/>
  <c r="J15" i="5"/>
  <c r="J66" i="18"/>
  <c r="J38" i="5"/>
  <c r="J25" i="18"/>
  <c r="J36" i="5"/>
  <c r="J69" i="18"/>
  <c r="J48" i="18"/>
  <c r="J23" i="18"/>
  <c r="J10" i="5"/>
  <c r="J15" i="18"/>
  <c r="J12" i="5"/>
  <c r="J52" i="5"/>
  <c r="J68" i="5"/>
  <c r="J28" i="18"/>
  <c r="J58" i="5"/>
  <c r="X11" i="12"/>
  <c r="Z11" i="12" s="1"/>
  <c r="J9" i="5"/>
  <c r="J34" i="18"/>
  <c r="J41" i="5"/>
  <c r="J45" i="18"/>
  <c r="J16" i="18"/>
  <c r="J39" i="18"/>
  <c r="Q5" i="16"/>
  <c r="Q7" i="16" s="1"/>
  <c r="Q10" i="16" s="1"/>
  <c r="Q13" i="16" s="1"/>
  <c r="J17" i="5"/>
  <c r="J44" i="18"/>
  <c r="J22" i="18"/>
  <c r="J8" i="18"/>
  <c r="J26" i="18"/>
  <c r="J24" i="5"/>
  <c r="J5" i="5"/>
  <c r="J56" i="5"/>
  <c r="J72" i="5"/>
  <c r="J22" i="5"/>
  <c r="J64" i="18"/>
  <c r="J65" i="18"/>
  <c r="X11" i="9"/>
  <c r="Z11" i="9" s="1"/>
  <c r="J14" i="5"/>
  <c r="J23" i="5"/>
  <c r="J7" i="5"/>
  <c r="J57" i="18"/>
  <c r="J16" i="5"/>
  <c r="X7" i="12"/>
  <c r="Z7" i="12" s="1"/>
  <c r="J32" i="18"/>
  <c r="J46" i="18"/>
  <c r="J10" i="18"/>
  <c r="J43" i="18"/>
  <c r="J6" i="18"/>
  <c r="T4" i="14"/>
  <c r="T76" i="14" s="1"/>
  <c r="J30" i="5"/>
  <c r="J46" i="5"/>
  <c r="J48" i="5"/>
  <c r="J64" i="5"/>
  <c r="J20" i="18"/>
  <c r="J7" i="18"/>
  <c r="J53" i="18"/>
  <c r="J18" i="5"/>
  <c r="J33" i="5"/>
  <c r="AJ75" i="14"/>
  <c r="AK75" i="14" s="1"/>
  <c r="AM75" i="14" s="1"/>
  <c r="AO75" i="14" s="1"/>
  <c r="AW75" i="14" s="1"/>
  <c r="AY75" i="14" s="1"/>
  <c r="J63" i="5"/>
  <c r="J25" i="5"/>
  <c r="J50" i="18"/>
  <c r="J36" i="18"/>
  <c r="J63" i="18"/>
  <c r="J29" i="18"/>
  <c r="X23" i="9"/>
  <c r="Z23" i="9" s="1"/>
  <c r="R76" i="9"/>
  <c r="J30" i="18"/>
  <c r="J71" i="5"/>
  <c r="J55" i="5"/>
  <c r="J42" i="5"/>
  <c r="J55" i="18"/>
  <c r="J31" i="18"/>
  <c r="J19" i="18"/>
  <c r="J11" i="5"/>
  <c r="U12" i="12"/>
  <c r="V12" i="12" s="1"/>
  <c r="W12" i="12" s="1"/>
  <c r="X12" i="12" s="1"/>
  <c r="Z12" i="12" s="1"/>
  <c r="J72" i="18"/>
  <c r="J21" i="18"/>
  <c r="J47" i="18"/>
  <c r="X15" i="9"/>
  <c r="Z15" i="9" s="1"/>
  <c r="J59" i="5"/>
  <c r="J59" i="18"/>
  <c r="J42" i="18"/>
  <c r="J32" i="5"/>
  <c r="J19" i="5"/>
  <c r="X17" i="9"/>
  <c r="Z17" i="9" s="1"/>
  <c r="J24" i="18"/>
  <c r="J54" i="18"/>
  <c r="X7" i="14"/>
  <c r="Z7" i="14" s="1"/>
  <c r="X7" i="9"/>
  <c r="Z7" i="9" s="1"/>
  <c r="R76" i="14"/>
  <c r="J62" i="5"/>
  <c r="J51" i="18"/>
  <c r="J44" i="5"/>
  <c r="J62" i="18"/>
  <c r="J61" i="18"/>
  <c r="J37" i="18"/>
  <c r="J17" i="18"/>
  <c r="J45" i="5"/>
  <c r="J11" i="18"/>
  <c r="T75" i="26"/>
  <c r="J79" i="6"/>
  <c r="J34" i="5"/>
  <c r="J50" i="5"/>
  <c r="J66" i="5"/>
  <c r="J60" i="18"/>
  <c r="J14" i="18"/>
  <c r="J38" i="18"/>
  <c r="J8" i="5"/>
  <c r="J58" i="18"/>
  <c r="AJ66" i="14"/>
  <c r="AK66" i="14" s="1"/>
  <c r="AM66" i="14" s="1"/>
  <c r="AO66" i="14" s="1"/>
  <c r="AW66" i="14" s="1"/>
  <c r="AY66" i="14" s="1"/>
  <c r="AJ62" i="14"/>
  <c r="AK62" i="14" s="1"/>
  <c r="AM62" i="14" s="1"/>
  <c r="AP62" i="14" s="1"/>
  <c r="AR62" i="14" s="1"/>
  <c r="AS62" i="14" s="1"/>
  <c r="AJ39" i="14"/>
  <c r="AK39" i="14" s="1"/>
  <c r="AM39" i="14" s="1"/>
  <c r="AO39" i="14" s="1"/>
  <c r="AW39" i="14" s="1"/>
  <c r="AY39" i="14" s="1"/>
  <c r="J54" i="5"/>
  <c r="J70" i="5"/>
  <c r="J26" i="5"/>
  <c r="J49" i="18"/>
  <c r="AJ44" i="14"/>
  <c r="AK44" i="14" s="1"/>
  <c r="AM44" i="14" s="1"/>
  <c r="AO44" i="14" s="1"/>
  <c r="AW44" i="14" s="1"/>
  <c r="AY44" i="14" s="1"/>
  <c r="AJ76" i="12"/>
  <c r="U10" i="12"/>
  <c r="V10" i="12" s="1"/>
  <c r="W10" i="12" s="1"/>
  <c r="X10" i="12" s="1"/>
  <c r="Z10" i="12" s="1"/>
  <c r="J21" i="5"/>
  <c r="J57" i="5"/>
  <c r="J13" i="18"/>
  <c r="J28" i="5"/>
  <c r="J52" i="18"/>
  <c r="AN11" i="9"/>
  <c r="AP11" i="9" s="1"/>
  <c r="AQ11" i="9" s="1"/>
  <c r="J68" i="18"/>
  <c r="J33" i="18"/>
  <c r="J9" i="18"/>
  <c r="AX5" i="14"/>
  <c r="J75" i="5"/>
  <c r="J60" i="5"/>
  <c r="V25" i="9"/>
  <c r="W25" i="9" s="1"/>
  <c r="X25" i="9" s="1"/>
  <c r="Z25" i="9" s="1"/>
  <c r="J40" i="5"/>
  <c r="J67" i="18"/>
  <c r="X8" i="12"/>
  <c r="Z8" i="12" s="1"/>
  <c r="J13" i="5"/>
  <c r="J49" i="5"/>
  <c r="J65" i="5"/>
  <c r="J40" i="18"/>
  <c r="J27" i="18"/>
  <c r="X19" i="9"/>
  <c r="Z19" i="9" s="1"/>
  <c r="J18" i="18"/>
  <c r="J6" i="5"/>
  <c r="J29" i="5"/>
  <c r="J71" i="18"/>
  <c r="M76" i="9"/>
  <c r="M77" i="9" s="1"/>
  <c r="I73" i="19"/>
  <c r="T76" i="12"/>
  <c r="X8" i="9"/>
  <c r="Z8" i="9" s="1"/>
  <c r="J67" i="5"/>
  <c r="J51" i="5"/>
  <c r="AJ67" i="14"/>
  <c r="AK67" i="14" s="1"/>
  <c r="AM67" i="14" s="1"/>
  <c r="AO67" i="14" s="1"/>
  <c r="AW67" i="14" s="1"/>
  <c r="AY67" i="14" s="1"/>
  <c r="AL76" i="14"/>
  <c r="X16" i="9"/>
  <c r="Z16" i="9" s="1"/>
  <c r="AJ74" i="14"/>
  <c r="AK74" i="14" s="1"/>
  <c r="AM74" i="14" s="1"/>
  <c r="AX74" i="14"/>
  <c r="AX53" i="14"/>
  <c r="AJ53" i="14"/>
  <c r="AK53" i="14" s="1"/>
  <c r="AM53" i="14" s="1"/>
  <c r="AN53" i="12"/>
  <c r="AP53" i="12" s="1"/>
  <c r="AQ53" i="12" s="1"/>
  <c r="AM53" i="12"/>
  <c r="AN34" i="12"/>
  <c r="AP34" i="12" s="1"/>
  <c r="AQ34" i="12" s="1"/>
  <c r="AM34" i="12"/>
  <c r="AN26" i="12"/>
  <c r="AP26" i="12" s="1"/>
  <c r="AQ26" i="12" s="1"/>
  <c r="AM26" i="12"/>
  <c r="AN18" i="12"/>
  <c r="AP18" i="12" s="1"/>
  <c r="AQ18" i="12" s="1"/>
  <c r="AM18" i="12"/>
  <c r="AN14" i="12"/>
  <c r="AP14" i="12" s="1"/>
  <c r="AQ14" i="12" s="1"/>
  <c r="AM14" i="12"/>
  <c r="AN11" i="12"/>
  <c r="AP11" i="12" s="1"/>
  <c r="AQ11" i="12" s="1"/>
  <c r="AM11" i="12"/>
  <c r="AN7" i="12"/>
  <c r="AP7" i="12" s="1"/>
  <c r="AQ7" i="12" s="1"/>
  <c r="AM7" i="12"/>
  <c r="AN25" i="9"/>
  <c r="AP25" i="9" s="1"/>
  <c r="AM25" i="9"/>
  <c r="AN13" i="9"/>
  <c r="AP13" i="9" s="1"/>
  <c r="AQ13" i="9" s="1"/>
  <c r="AM13" i="9"/>
  <c r="AN23" i="9"/>
  <c r="AP23" i="9" s="1"/>
  <c r="AQ23" i="9" s="1"/>
  <c r="AM23" i="9"/>
  <c r="AN14" i="9"/>
  <c r="AP14" i="9" s="1"/>
  <c r="AQ14" i="9" s="1"/>
  <c r="AM14" i="9"/>
  <c r="AM21" i="9"/>
  <c r="AN21" i="9"/>
  <c r="AP21" i="9" s="1"/>
  <c r="AQ21" i="9" s="1"/>
  <c r="AJ57" i="14"/>
  <c r="AK57" i="14" s="1"/>
  <c r="AM57" i="14" s="1"/>
  <c r="AX57" i="14"/>
  <c r="AJ32" i="14"/>
  <c r="AK32" i="14" s="1"/>
  <c r="AM32" i="14" s="1"/>
  <c r="AX32" i="14"/>
  <c r="AJ23" i="14"/>
  <c r="AK23" i="14" s="1"/>
  <c r="AM23" i="14" s="1"/>
  <c r="AX23" i="14"/>
  <c r="AJ8" i="14"/>
  <c r="AK8" i="14" s="1"/>
  <c r="AM8" i="14" s="1"/>
  <c r="AX8" i="14"/>
  <c r="AN51" i="12"/>
  <c r="AP51" i="12" s="1"/>
  <c r="AQ51" i="12" s="1"/>
  <c r="AM51" i="12"/>
  <c r="AN48" i="12"/>
  <c r="AP48" i="12" s="1"/>
  <c r="AQ48" i="12" s="1"/>
  <c r="AM48" i="12"/>
  <c r="AN45" i="12"/>
  <c r="AP45" i="12" s="1"/>
  <c r="AQ45" i="12" s="1"/>
  <c r="AM45" i="12"/>
  <c r="AN32" i="12"/>
  <c r="AP32" i="12" s="1"/>
  <c r="AQ32" i="12" s="1"/>
  <c r="AM32" i="12"/>
  <c r="AN24" i="12"/>
  <c r="AP24" i="12" s="1"/>
  <c r="AQ24" i="12" s="1"/>
  <c r="AM24" i="12"/>
  <c r="AN16" i="12"/>
  <c r="AP16" i="12" s="1"/>
  <c r="AQ16" i="12" s="1"/>
  <c r="AM16" i="12"/>
  <c r="AM24" i="9"/>
  <c r="AN24" i="9"/>
  <c r="AP24" i="9" s="1"/>
  <c r="AJ19" i="14"/>
  <c r="AK19" i="14" s="1"/>
  <c r="AM19" i="14" s="1"/>
  <c r="AX19" i="14"/>
  <c r="AN63" i="12"/>
  <c r="AP63" i="12" s="1"/>
  <c r="AQ63" i="12" s="1"/>
  <c r="AM63" i="12"/>
  <c r="AN38" i="12"/>
  <c r="AP38" i="12" s="1"/>
  <c r="AQ38" i="12" s="1"/>
  <c r="AM38" i="12"/>
  <c r="AN30" i="12"/>
  <c r="AP30" i="12" s="1"/>
  <c r="AQ30" i="12" s="1"/>
  <c r="AM30" i="12"/>
  <c r="AN22" i="12"/>
  <c r="AP22" i="12" s="1"/>
  <c r="AQ22" i="12" s="1"/>
  <c r="AM22" i="12"/>
  <c r="AN13" i="12"/>
  <c r="AP13" i="12" s="1"/>
  <c r="AQ13" i="12" s="1"/>
  <c r="AM13" i="12"/>
  <c r="AM34" i="9"/>
  <c r="AN34" i="9"/>
  <c r="AP34" i="9" s="1"/>
  <c r="AQ34" i="9" s="1"/>
  <c r="AN16" i="9"/>
  <c r="AP16" i="9" s="1"/>
  <c r="AQ16" i="9" s="1"/>
  <c r="AM16" i="9"/>
  <c r="AM26" i="9"/>
  <c r="AN26" i="9"/>
  <c r="AP26" i="9" s="1"/>
  <c r="AQ26" i="9" s="1"/>
  <c r="AN17" i="9"/>
  <c r="AP17" i="9" s="1"/>
  <c r="AQ17" i="9" s="1"/>
  <c r="AM17" i="9"/>
  <c r="AM7" i="9"/>
  <c r="AN7" i="9"/>
  <c r="AP7" i="9" s="1"/>
  <c r="AQ7" i="9" s="1"/>
  <c r="AM58" i="9"/>
  <c r="AN58" i="9"/>
  <c r="AP58" i="9" s="1"/>
  <c r="AQ58" i="9" s="1"/>
  <c r="X5" i="9"/>
  <c r="Z5" i="9" s="1"/>
  <c r="AJ54" i="14"/>
  <c r="AK54" i="14" s="1"/>
  <c r="AM54" i="14" s="1"/>
  <c r="AX54" i="14"/>
  <c r="AJ49" i="14"/>
  <c r="AK49" i="14" s="1"/>
  <c r="AM49" i="14" s="1"/>
  <c r="AX49" i="14"/>
  <c r="AJ41" i="14"/>
  <c r="AK41" i="14" s="1"/>
  <c r="AM41" i="14" s="1"/>
  <c r="AX41" i="14"/>
  <c r="AJ15" i="14"/>
  <c r="AK15" i="14" s="1"/>
  <c r="AM15" i="14" s="1"/>
  <c r="AX15" i="14"/>
  <c r="AN57" i="12"/>
  <c r="AP57" i="12" s="1"/>
  <c r="AQ57" i="12" s="1"/>
  <c r="AM57" i="12"/>
  <c r="AN46" i="12"/>
  <c r="AP46" i="12" s="1"/>
  <c r="AQ46" i="12" s="1"/>
  <c r="AM46" i="12"/>
  <c r="AN49" i="12"/>
  <c r="AP49" i="12" s="1"/>
  <c r="AQ49" i="12" s="1"/>
  <c r="AM49" i="12"/>
  <c r="AN36" i="12"/>
  <c r="AP36" i="12" s="1"/>
  <c r="AQ36" i="12" s="1"/>
  <c r="AM36" i="12"/>
  <c r="AN28" i="12"/>
  <c r="AP28" i="12" s="1"/>
  <c r="AQ28" i="12" s="1"/>
  <c r="AM28" i="12"/>
  <c r="AN20" i="12"/>
  <c r="AP20" i="12" s="1"/>
  <c r="AQ20" i="12" s="1"/>
  <c r="AM20" i="12"/>
  <c r="AN20" i="9"/>
  <c r="AP20" i="9" s="1"/>
  <c r="AM20" i="9"/>
  <c r="AN9" i="9"/>
  <c r="AP9" i="9" s="1"/>
  <c r="AM9" i="9"/>
  <c r="AM18" i="9"/>
  <c r="AN18" i="9"/>
  <c r="AP18" i="9" s="1"/>
  <c r="AQ18" i="9" s="1"/>
  <c r="AM15" i="9"/>
  <c r="AN15" i="9"/>
  <c r="AP15" i="9" s="1"/>
  <c r="X9" i="9"/>
  <c r="Z9" i="9" s="1"/>
  <c r="U73" i="14"/>
  <c r="V73" i="14" s="1"/>
  <c r="W73" i="14" s="1"/>
  <c r="X73" i="14" s="1"/>
  <c r="Z73" i="14" s="1"/>
  <c r="U64" i="14"/>
  <c r="V64" i="14" s="1"/>
  <c r="W64" i="14" s="1"/>
  <c r="X64" i="14" s="1"/>
  <c r="Z64" i="14" s="1"/>
  <c r="U51" i="14"/>
  <c r="V51" i="14" s="1"/>
  <c r="W51" i="14" s="1"/>
  <c r="X51" i="14" s="1"/>
  <c r="Z51" i="14" s="1"/>
  <c r="U59" i="14"/>
  <c r="V59" i="14" s="1"/>
  <c r="W59" i="14" s="1"/>
  <c r="X59" i="14" s="1"/>
  <c r="Z59" i="14" s="1"/>
  <c r="U52" i="14"/>
  <c r="V52" i="14" s="1"/>
  <c r="W52" i="14" s="1"/>
  <c r="X52" i="14" s="1"/>
  <c r="Z52" i="14" s="1"/>
  <c r="U45" i="14"/>
  <c r="V45" i="14" s="1"/>
  <c r="W45" i="14" s="1"/>
  <c r="X45" i="14" s="1"/>
  <c r="Z45" i="14" s="1"/>
  <c r="U32" i="14"/>
  <c r="V32" i="14" s="1"/>
  <c r="W32" i="14" s="1"/>
  <c r="X32" i="14" s="1"/>
  <c r="Z32" i="14" s="1"/>
  <c r="U40" i="14"/>
  <c r="V40" i="14" s="1"/>
  <c r="W40" i="14" s="1"/>
  <c r="X40" i="14" s="1"/>
  <c r="Z40" i="14" s="1"/>
  <c r="U31" i="14"/>
  <c r="V31" i="14" s="1"/>
  <c r="W31" i="14" s="1"/>
  <c r="X31" i="14" s="1"/>
  <c r="Z31" i="14" s="1"/>
  <c r="U48" i="14"/>
  <c r="V48" i="14" s="1"/>
  <c r="W48" i="14" s="1"/>
  <c r="X48" i="14" s="1"/>
  <c r="Z48" i="14" s="1"/>
  <c r="U43" i="14"/>
  <c r="V43" i="14" s="1"/>
  <c r="W43" i="14" s="1"/>
  <c r="X43" i="14" s="1"/>
  <c r="Z43" i="14" s="1"/>
  <c r="U35" i="14"/>
  <c r="V35" i="14" s="1"/>
  <c r="W35" i="14" s="1"/>
  <c r="X35" i="14" s="1"/>
  <c r="Z35" i="14" s="1"/>
  <c r="AJ13" i="14"/>
  <c r="AK13" i="14" s="1"/>
  <c r="AM13" i="14" s="1"/>
  <c r="U38" i="14"/>
  <c r="V38" i="14" s="1"/>
  <c r="W38" i="14" s="1"/>
  <c r="X38" i="14" s="1"/>
  <c r="Z38" i="14" s="1"/>
  <c r="U24" i="14"/>
  <c r="V24" i="14" s="1"/>
  <c r="W24" i="14" s="1"/>
  <c r="X24" i="14" s="1"/>
  <c r="Z24" i="14" s="1"/>
  <c r="U21" i="14"/>
  <c r="V21" i="14" s="1"/>
  <c r="W21" i="14" s="1"/>
  <c r="X21" i="14" s="1"/>
  <c r="Z21" i="14" s="1"/>
  <c r="AJ12" i="14"/>
  <c r="AK12" i="14" s="1"/>
  <c r="AM12" i="14" s="1"/>
  <c r="AX12" i="14"/>
  <c r="AX7" i="14"/>
  <c r="AJ7" i="14"/>
  <c r="AK7" i="14" s="1"/>
  <c r="AM7" i="14" s="1"/>
  <c r="AJ24" i="14"/>
  <c r="AK24" i="14" s="1"/>
  <c r="AM24" i="14" s="1"/>
  <c r="AX24" i="14"/>
  <c r="AX14" i="14"/>
  <c r="AJ14" i="14"/>
  <c r="AK14" i="14" s="1"/>
  <c r="AM14" i="14" s="1"/>
  <c r="AJ30" i="14"/>
  <c r="AK30" i="14" s="1"/>
  <c r="AM30" i="14" s="1"/>
  <c r="AX30" i="14"/>
  <c r="AJ47" i="14"/>
  <c r="AK47" i="14" s="1"/>
  <c r="AM47" i="14" s="1"/>
  <c r="AX47" i="14"/>
  <c r="AJ42" i="14"/>
  <c r="AK42" i="14" s="1"/>
  <c r="AM42" i="14" s="1"/>
  <c r="AX42" i="14"/>
  <c r="AJ51" i="14"/>
  <c r="AK51" i="14" s="1"/>
  <c r="AM51" i="14" s="1"/>
  <c r="AX51" i="14"/>
  <c r="AX48" i="14"/>
  <c r="AJ48" i="14"/>
  <c r="AK48" i="14" s="1"/>
  <c r="AM48" i="14" s="1"/>
  <c r="AJ68" i="14"/>
  <c r="AK68" i="14" s="1"/>
  <c r="AM68" i="14" s="1"/>
  <c r="AX68" i="14"/>
  <c r="AX71" i="14"/>
  <c r="AJ71" i="14"/>
  <c r="AK71" i="14" s="1"/>
  <c r="AM71" i="14" s="1"/>
  <c r="AJ69" i="14"/>
  <c r="AK69" i="14" s="1"/>
  <c r="AM69" i="14" s="1"/>
  <c r="AX69" i="14"/>
  <c r="AN62" i="12"/>
  <c r="AP62" i="12" s="1"/>
  <c r="AQ62" i="12" s="1"/>
  <c r="AM62" i="12"/>
  <c r="U16" i="14"/>
  <c r="V16" i="14" s="1"/>
  <c r="W16" i="14" s="1"/>
  <c r="X16" i="14" s="1"/>
  <c r="Z16" i="14" s="1"/>
  <c r="U10" i="14"/>
  <c r="V10" i="14" s="1"/>
  <c r="W10" i="14" s="1"/>
  <c r="X10" i="14" s="1"/>
  <c r="Z10" i="14" s="1"/>
  <c r="O76" i="14"/>
  <c r="P4" i="14"/>
  <c r="Q4" i="14" s="1"/>
  <c r="P24" i="14"/>
  <c r="Q24" i="14" s="1"/>
  <c r="P23" i="14"/>
  <c r="Q23" i="14" s="1"/>
  <c r="P18" i="14"/>
  <c r="Q18" i="14" s="1"/>
  <c r="P12" i="14"/>
  <c r="Q12" i="14" s="1"/>
  <c r="P29" i="14"/>
  <c r="Q29" i="14" s="1"/>
  <c r="P46" i="14"/>
  <c r="Q46" i="14" s="1"/>
  <c r="P36" i="14"/>
  <c r="Q36" i="14" s="1"/>
  <c r="P39" i="14"/>
  <c r="Q39" i="14" s="1"/>
  <c r="P30" i="14"/>
  <c r="Q30" i="14" s="1"/>
  <c r="P47" i="14"/>
  <c r="Q47" i="14" s="1"/>
  <c r="P58" i="14"/>
  <c r="Q58" i="14" s="1"/>
  <c r="P54" i="14"/>
  <c r="Q54" i="14" s="1"/>
  <c r="P59" i="14"/>
  <c r="Q59" i="14" s="1"/>
  <c r="P51" i="14"/>
  <c r="Q51" i="14" s="1"/>
  <c r="U70" i="14"/>
  <c r="V70" i="14" s="1"/>
  <c r="W70" i="14" s="1"/>
  <c r="X70" i="14" s="1"/>
  <c r="Z70" i="14" s="1"/>
  <c r="P68" i="14"/>
  <c r="Q68" i="14" s="1"/>
  <c r="P72" i="14"/>
  <c r="Q72" i="14" s="1"/>
  <c r="U66" i="12"/>
  <c r="V66" i="12" s="1"/>
  <c r="W66" i="12" s="1"/>
  <c r="X66" i="12" s="1"/>
  <c r="Z66" i="12" s="1"/>
  <c r="U62" i="12"/>
  <c r="V62" i="12" s="1"/>
  <c r="W62" i="12" s="1"/>
  <c r="X62" i="12" s="1"/>
  <c r="Z62" i="12" s="1"/>
  <c r="U50" i="12"/>
  <c r="V50" i="12" s="1"/>
  <c r="W50" i="12" s="1"/>
  <c r="X50" i="12" s="1"/>
  <c r="Z50" i="12" s="1"/>
  <c r="U51" i="12"/>
  <c r="V51" i="12" s="1"/>
  <c r="W51" i="12" s="1"/>
  <c r="X51" i="12" s="1"/>
  <c r="Z51" i="12" s="1"/>
  <c r="AN44" i="12"/>
  <c r="AP44" i="12" s="1"/>
  <c r="AQ44" i="12" s="1"/>
  <c r="AM44" i="12"/>
  <c r="U72" i="12"/>
  <c r="V72" i="12" s="1"/>
  <c r="W72" i="12" s="1"/>
  <c r="X72" i="12" s="1"/>
  <c r="Z72" i="12" s="1"/>
  <c r="U65" i="12"/>
  <c r="V65" i="12" s="1"/>
  <c r="W65" i="12" s="1"/>
  <c r="X65" i="12" s="1"/>
  <c r="Z65" i="12" s="1"/>
  <c r="U52" i="12"/>
  <c r="V52" i="12" s="1"/>
  <c r="W52" i="12" s="1"/>
  <c r="X52" i="12" s="1"/>
  <c r="Z52" i="12" s="1"/>
  <c r="U37" i="12"/>
  <c r="V37" i="12" s="1"/>
  <c r="W37" i="12" s="1"/>
  <c r="X37" i="12" s="1"/>
  <c r="Z37" i="12" s="1"/>
  <c r="U21" i="12"/>
  <c r="V21" i="12" s="1"/>
  <c r="W21" i="12" s="1"/>
  <c r="X21" i="12" s="1"/>
  <c r="Z21" i="12" s="1"/>
  <c r="P8" i="12"/>
  <c r="Q8" i="12" s="1"/>
  <c r="O76" i="12"/>
  <c r="P4" i="12"/>
  <c r="Q4" i="12" s="1"/>
  <c r="U49" i="12"/>
  <c r="V49" i="12" s="1"/>
  <c r="W49" i="12" s="1"/>
  <c r="X49" i="12" s="1"/>
  <c r="Z49" i="12" s="1"/>
  <c r="P20" i="12"/>
  <c r="Q20" i="12" s="1"/>
  <c r="P28" i="12"/>
  <c r="Q28" i="12" s="1"/>
  <c r="P36" i="12"/>
  <c r="Q36" i="12" s="1"/>
  <c r="P42" i="12"/>
  <c r="Q42" i="12" s="1"/>
  <c r="P17" i="12"/>
  <c r="Q17" i="12" s="1"/>
  <c r="P25" i="12"/>
  <c r="Q25" i="12" s="1"/>
  <c r="P33" i="12"/>
  <c r="Q33" i="12" s="1"/>
  <c r="P54" i="12"/>
  <c r="Q54" i="12" s="1"/>
  <c r="P75" i="12"/>
  <c r="Q75" i="12" s="1"/>
  <c r="P53" i="12"/>
  <c r="Q53" i="12" s="1"/>
  <c r="P70" i="12"/>
  <c r="Q70" i="12" s="1"/>
  <c r="P66" i="12"/>
  <c r="Q66" i="12" s="1"/>
  <c r="P46" i="12"/>
  <c r="Q46" i="12" s="1"/>
  <c r="P56" i="12"/>
  <c r="Q56" i="12" s="1"/>
  <c r="P71" i="12"/>
  <c r="Q71" i="12" s="1"/>
  <c r="U27" i="12"/>
  <c r="V27" i="12" s="1"/>
  <c r="W27" i="12" s="1"/>
  <c r="X27" i="12" s="1"/>
  <c r="Z27" i="12" s="1"/>
  <c r="R76" i="12"/>
  <c r="U33" i="12"/>
  <c r="V33" i="12" s="1"/>
  <c r="W33" i="12" s="1"/>
  <c r="X33" i="12" s="1"/>
  <c r="Z33" i="12" s="1"/>
  <c r="U17" i="12"/>
  <c r="V17" i="12" s="1"/>
  <c r="W17" i="12" s="1"/>
  <c r="X17" i="12" s="1"/>
  <c r="Z17" i="12" s="1"/>
  <c r="U67" i="9"/>
  <c r="V67" i="9" s="1"/>
  <c r="W67" i="9" s="1"/>
  <c r="X67" i="9" s="1"/>
  <c r="Z67" i="9" s="1"/>
  <c r="U39" i="12"/>
  <c r="V39" i="12" s="1"/>
  <c r="W39" i="12" s="1"/>
  <c r="X39" i="12" s="1"/>
  <c r="Z39" i="12" s="1"/>
  <c r="U23" i="12"/>
  <c r="V23" i="12" s="1"/>
  <c r="W23" i="12" s="1"/>
  <c r="X23" i="12" s="1"/>
  <c r="Z23" i="12" s="1"/>
  <c r="AN10" i="12"/>
  <c r="AP10" i="12" s="1"/>
  <c r="AQ10" i="12" s="1"/>
  <c r="AM10" i="12"/>
  <c r="AN6" i="12"/>
  <c r="AP6" i="12" s="1"/>
  <c r="AQ6" i="12" s="1"/>
  <c r="AM6" i="12"/>
  <c r="AN15" i="12"/>
  <c r="AP15" i="12" s="1"/>
  <c r="AQ15" i="12" s="1"/>
  <c r="AM15" i="12"/>
  <c r="AN23" i="12"/>
  <c r="AP23" i="12" s="1"/>
  <c r="AQ23" i="12" s="1"/>
  <c r="AM23" i="12"/>
  <c r="AN31" i="12"/>
  <c r="AP31" i="12" s="1"/>
  <c r="AQ31" i="12" s="1"/>
  <c r="AM31" i="12"/>
  <c r="AM39" i="12"/>
  <c r="AN39" i="12"/>
  <c r="AP39" i="12" s="1"/>
  <c r="AQ39" i="12" s="1"/>
  <c r="AM43" i="12"/>
  <c r="AN43" i="12"/>
  <c r="AP43" i="12" s="1"/>
  <c r="AQ43" i="12" s="1"/>
  <c r="AN58" i="12"/>
  <c r="AP58" i="12" s="1"/>
  <c r="AQ58" i="12" s="1"/>
  <c r="AM58" i="12"/>
  <c r="AM54" i="12"/>
  <c r="AN54" i="12"/>
  <c r="AP54" i="12" s="1"/>
  <c r="AQ54" i="12" s="1"/>
  <c r="AN74" i="12"/>
  <c r="AP74" i="12" s="1"/>
  <c r="AQ74" i="12" s="1"/>
  <c r="AM74" i="12"/>
  <c r="U53" i="9"/>
  <c r="V53" i="9" s="1"/>
  <c r="W53" i="9" s="1"/>
  <c r="X53" i="9" s="1"/>
  <c r="Z53" i="9" s="1"/>
  <c r="AM44" i="9"/>
  <c r="AN44" i="9"/>
  <c r="AP44" i="9" s="1"/>
  <c r="AQ44" i="9" s="1"/>
  <c r="P32" i="9"/>
  <c r="Q32" i="9" s="1"/>
  <c r="P30" i="9"/>
  <c r="Q30" i="9" s="1"/>
  <c r="AD28" i="9"/>
  <c r="AH28" i="9" s="1"/>
  <c r="AI28" i="9" s="1"/>
  <c r="AK28" i="9" s="1"/>
  <c r="P24" i="9"/>
  <c r="Q24" i="9" s="1"/>
  <c r="P18" i="9"/>
  <c r="Q18" i="9" s="1"/>
  <c r="P7" i="9"/>
  <c r="Q7" i="9" s="1"/>
  <c r="P36" i="9"/>
  <c r="Q36" i="9" s="1"/>
  <c r="P57" i="9"/>
  <c r="Q57" i="9" s="1"/>
  <c r="P39" i="9"/>
  <c r="Q39" i="9" s="1"/>
  <c r="P49" i="9"/>
  <c r="Q49" i="9" s="1"/>
  <c r="P72" i="9"/>
  <c r="Q72" i="9" s="1"/>
  <c r="P44" i="9"/>
  <c r="Q44" i="9" s="1"/>
  <c r="P63" i="9"/>
  <c r="Q63" i="9" s="1"/>
  <c r="P75" i="9"/>
  <c r="Q75" i="9" s="1"/>
  <c r="P58" i="9"/>
  <c r="Q58" i="9" s="1"/>
  <c r="P74" i="9"/>
  <c r="Q74" i="9" s="1"/>
  <c r="U73" i="9"/>
  <c r="V73" i="9" s="1"/>
  <c r="W73" i="9" s="1"/>
  <c r="X73" i="9" s="1"/>
  <c r="Z73" i="9" s="1"/>
  <c r="U56" i="9"/>
  <c r="V56" i="9" s="1"/>
  <c r="W56" i="9" s="1"/>
  <c r="X56" i="9" s="1"/>
  <c r="Z56" i="9" s="1"/>
  <c r="U48" i="9"/>
  <c r="V48" i="9" s="1"/>
  <c r="W48" i="9" s="1"/>
  <c r="X48" i="9" s="1"/>
  <c r="Z48" i="9" s="1"/>
  <c r="U29" i="9"/>
  <c r="V29" i="9" s="1"/>
  <c r="W29" i="9" s="1"/>
  <c r="X29" i="9" s="1"/>
  <c r="Z29" i="9" s="1"/>
  <c r="P12" i="9"/>
  <c r="Q12" i="9" s="1"/>
  <c r="U64" i="9"/>
  <c r="V64" i="9" s="1"/>
  <c r="W64" i="9" s="1"/>
  <c r="X64" i="9" s="1"/>
  <c r="Z64" i="9" s="1"/>
  <c r="U54" i="9"/>
  <c r="V54" i="9" s="1"/>
  <c r="W54" i="9" s="1"/>
  <c r="X54" i="9" s="1"/>
  <c r="Z54" i="9" s="1"/>
  <c r="U40" i="9"/>
  <c r="V40" i="9" s="1"/>
  <c r="W40" i="9" s="1"/>
  <c r="X40" i="9" s="1"/>
  <c r="Z40" i="9" s="1"/>
  <c r="U31" i="9"/>
  <c r="V31" i="9" s="1"/>
  <c r="W31" i="9" s="1"/>
  <c r="X31" i="9" s="1"/>
  <c r="Z31" i="9" s="1"/>
  <c r="U70" i="9"/>
  <c r="V70" i="9" s="1"/>
  <c r="W70" i="9" s="1"/>
  <c r="X70" i="9" s="1"/>
  <c r="Z70" i="9" s="1"/>
  <c r="U42" i="9"/>
  <c r="V42" i="9" s="1"/>
  <c r="W42" i="9" s="1"/>
  <c r="X42" i="9" s="1"/>
  <c r="Z42" i="9" s="1"/>
  <c r="U39" i="9"/>
  <c r="V39" i="9" s="1"/>
  <c r="W39" i="9" s="1"/>
  <c r="X39" i="9" s="1"/>
  <c r="Z39" i="9" s="1"/>
  <c r="P35" i="9"/>
  <c r="Q35" i="9" s="1"/>
  <c r="P17" i="9"/>
  <c r="Q17" i="9" s="1"/>
  <c r="P14" i="9"/>
  <c r="Q14" i="9" s="1"/>
  <c r="P6" i="9"/>
  <c r="Q6" i="9" s="1"/>
  <c r="AM55" i="9"/>
  <c r="AN55" i="9"/>
  <c r="AP55" i="9" s="1"/>
  <c r="AQ55" i="9" s="1"/>
  <c r="AN73" i="9"/>
  <c r="AP73" i="9" s="1"/>
  <c r="AQ73" i="9" s="1"/>
  <c r="AM73" i="9"/>
  <c r="AN59" i="9"/>
  <c r="AP59" i="9" s="1"/>
  <c r="AQ59" i="9" s="1"/>
  <c r="AM59" i="9"/>
  <c r="AN54" i="9"/>
  <c r="AP54" i="9" s="1"/>
  <c r="AM54" i="9"/>
  <c r="AN68" i="9"/>
  <c r="AP68" i="9" s="1"/>
  <c r="AM68" i="9"/>
  <c r="I76" i="5"/>
  <c r="J61" i="5"/>
  <c r="J43" i="5"/>
  <c r="J27" i="5"/>
  <c r="U72" i="14"/>
  <c r="V72" i="14" s="1"/>
  <c r="W72" i="14" s="1"/>
  <c r="X72" i="14" s="1"/>
  <c r="Z72" i="14" s="1"/>
  <c r="U68" i="14"/>
  <c r="V68" i="14" s="1"/>
  <c r="W68" i="14" s="1"/>
  <c r="X68" i="14" s="1"/>
  <c r="Z68" i="14" s="1"/>
  <c r="U63" i="14"/>
  <c r="V63" i="14" s="1"/>
  <c r="W63" i="14" s="1"/>
  <c r="X63" i="14" s="1"/>
  <c r="Z63" i="14" s="1"/>
  <c r="U67" i="14"/>
  <c r="V67" i="14" s="1"/>
  <c r="W67" i="14" s="1"/>
  <c r="X67" i="14" s="1"/>
  <c r="Z67" i="14" s="1"/>
  <c r="U56" i="14"/>
  <c r="V56" i="14" s="1"/>
  <c r="W56" i="14" s="1"/>
  <c r="X56" i="14" s="1"/>
  <c r="Z56" i="14" s="1"/>
  <c r="U49" i="14"/>
  <c r="V49" i="14" s="1"/>
  <c r="W49" i="14" s="1"/>
  <c r="X49" i="14" s="1"/>
  <c r="Z49" i="14" s="1"/>
  <c r="U57" i="14"/>
  <c r="V57" i="14" s="1"/>
  <c r="W57" i="14" s="1"/>
  <c r="X57" i="14" s="1"/>
  <c r="Z57" i="14" s="1"/>
  <c r="U29" i="14"/>
  <c r="V29" i="14" s="1"/>
  <c r="W29" i="14" s="1"/>
  <c r="X29" i="14" s="1"/>
  <c r="Z29" i="14" s="1"/>
  <c r="U30" i="14"/>
  <c r="V30" i="14" s="1"/>
  <c r="W30" i="14" s="1"/>
  <c r="X30" i="14" s="1"/>
  <c r="Z30" i="14" s="1"/>
  <c r="U47" i="14"/>
  <c r="V47" i="14" s="1"/>
  <c r="W47" i="14" s="1"/>
  <c r="X47" i="14" s="1"/>
  <c r="Z47" i="14" s="1"/>
  <c r="U34" i="14"/>
  <c r="V34" i="14" s="1"/>
  <c r="W34" i="14" s="1"/>
  <c r="X34" i="14" s="1"/>
  <c r="Z34" i="14" s="1"/>
  <c r="U23" i="14"/>
  <c r="V23" i="14" s="1"/>
  <c r="W23" i="14" s="1"/>
  <c r="X23" i="14" s="1"/>
  <c r="Z23" i="14" s="1"/>
  <c r="P9" i="14"/>
  <c r="Q9" i="14" s="1"/>
  <c r="M76" i="14"/>
  <c r="M77" i="14" s="1"/>
  <c r="U14" i="14"/>
  <c r="V14" i="14" s="1"/>
  <c r="W14" i="14" s="1"/>
  <c r="X14" i="14" s="1"/>
  <c r="Z14" i="14" s="1"/>
  <c r="U9" i="14"/>
  <c r="V9" i="14" s="1"/>
  <c r="W9" i="14" s="1"/>
  <c r="X9" i="14" s="1"/>
  <c r="Z9" i="14" s="1"/>
  <c r="U26" i="14"/>
  <c r="V26" i="14" s="1"/>
  <c r="W26" i="14" s="1"/>
  <c r="X26" i="14" s="1"/>
  <c r="Z26" i="14" s="1"/>
  <c r="AD76" i="14"/>
  <c r="AJ4" i="14"/>
  <c r="AX4" i="14"/>
  <c r="AJ17" i="14"/>
  <c r="AK17" i="14" s="1"/>
  <c r="AM17" i="14" s="1"/>
  <c r="AX17" i="14"/>
  <c r="AJ11" i="14"/>
  <c r="AK11" i="14" s="1"/>
  <c r="AM11" i="14" s="1"/>
  <c r="AX11" i="14"/>
  <c r="AJ28" i="14"/>
  <c r="AK28" i="14" s="1"/>
  <c r="AM28" i="14" s="1"/>
  <c r="AX28" i="14"/>
  <c r="AX18" i="14"/>
  <c r="AJ18" i="14"/>
  <c r="AK18" i="14" s="1"/>
  <c r="AM18" i="14" s="1"/>
  <c r="AD82" i="14"/>
  <c r="AJ34" i="14"/>
  <c r="AK34" i="14" s="1"/>
  <c r="AM34" i="14" s="1"/>
  <c r="AX34" i="14"/>
  <c r="AX29" i="14"/>
  <c r="AJ29" i="14"/>
  <c r="AK29" i="14" s="1"/>
  <c r="AM29" i="14" s="1"/>
  <c r="AJ46" i="14"/>
  <c r="AK46" i="14" s="1"/>
  <c r="AM46" i="14" s="1"/>
  <c r="AX46" i="14"/>
  <c r="AX27" i="14"/>
  <c r="AJ27" i="14"/>
  <c r="AK27" i="14" s="1"/>
  <c r="AM27" i="14" s="1"/>
  <c r="AX40" i="14"/>
  <c r="AJ40" i="14"/>
  <c r="AK40" i="14" s="1"/>
  <c r="AM40" i="14" s="1"/>
  <c r="AJ50" i="14"/>
  <c r="AK50" i="14" s="1"/>
  <c r="AM50" i="14" s="1"/>
  <c r="AX50" i="14"/>
  <c r="AX52" i="14"/>
  <c r="AJ52" i="14"/>
  <c r="AK52" i="14" s="1"/>
  <c r="AM52" i="14" s="1"/>
  <c r="AJ60" i="14"/>
  <c r="AK60" i="14" s="1"/>
  <c r="AM60" i="14" s="1"/>
  <c r="AX60" i="14"/>
  <c r="AX70" i="14"/>
  <c r="AJ70" i="14"/>
  <c r="AK70" i="14" s="1"/>
  <c r="AM70" i="14" s="1"/>
  <c r="AJ73" i="14"/>
  <c r="AK73" i="14" s="1"/>
  <c r="AM73" i="14" s="1"/>
  <c r="AX73" i="14"/>
  <c r="U74" i="12"/>
  <c r="V74" i="12" s="1"/>
  <c r="W74" i="12" s="1"/>
  <c r="X74" i="12" s="1"/>
  <c r="Z74" i="12" s="1"/>
  <c r="U28" i="14"/>
  <c r="V28" i="14" s="1"/>
  <c r="W28" i="14" s="1"/>
  <c r="X28" i="14" s="1"/>
  <c r="Z28" i="14" s="1"/>
  <c r="U20" i="14"/>
  <c r="V20" i="14" s="1"/>
  <c r="W20" i="14" s="1"/>
  <c r="X20" i="14" s="1"/>
  <c r="Z20" i="14" s="1"/>
  <c r="U8" i="14"/>
  <c r="V8" i="14" s="1"/>
  <c r="W8" i="14" s="1"/>
  <c r="X8" i="14" s="1"/>
  <c r="Z8" i="14" s="1"/>
  <c r="P11" i="14"/>
  <c r="Q11" i="14" s="1"/>
  <c r="P10" i="14"/>
  <c r="Q10" i="14" s="1"/>
  <c r="P27" i="14"/>
  <c r="Q27" i="14" s="1"/>
  <c r="P22" i="14"/>
  <c r="Q22" i="14" s="1"/>
  <c r="P17" i="14"/>
  <c r="Q17" i="14" s="1"/>
  <c r="P33" i="14"/>
  <c r="Q33" i="14" s="1"/>
  <c r="P48" i="14"/>
  <c r="Q48" i="14" s="1"/>
  <c r="P41" i="14"/>
  <c r="Q41" i="14" s="1"/>
  <c r="P40" i="14"/>
  <c r="Q40" i="14" s="1"/>
  <c r="P34" i="14"/>
  <c r="Q34" i="14" s="1"/>
  <c r="P49" i="14"/>
  <c r="Q49" i="14" s="1"/>
  <c r="P62" i="14"/>
  <c r="Q62" i="14" s="1"/>
  <c r="U55" i="14"/>
  <c r="V55" i="14" s="1"/>
  <c r="W55" i="14" s="1"/>
  <c r="X55" i="14" s="1"/>
  <c r="Z55" i="14" s="1"/>
  <c r="P52" i="14"/>
  <c r="Q52" i="14" s="1"/>
  <c r="P63" i="14"/>
  <c r="Q63" i="14" s="1"/>
  <c r="P65" i="14"/>
  <c r="Q65" i="14" s="1"/>
  <c r="P69" i="14"/>
  <c r="Q69" i="14" s="1"/>
  <c r="P75" i="14"/>
  <c r="Q75" i="14" s="1"/>
  <c r="X5" i="14"/>
  <c r="Z5" i="14" s="1"/>
  <c r="U64" i="12"/>
  <c r="V64" i="12" s="1"/>
  <c r="W64" i="12" s="1"/>
  <c r="X64" i="12" s="1"/>
  <c r="Z64" i="12" s="1"/>
  <c r="AP5" i="14"/>
  <c r="AR5" i="14" s="1"/>
  <c r="AS5" i="14" s="1"/>
  <c r="AO5" i="14"/>
  <c r="AW5" i="14" s="1"/>
  <c r="U57" i="12"/>
  <c r="V57" i="12" s="1"/>
  <c r="W57" i="12" s="1"/>
  <c r="X57" i="12" s="1"/>
  <c r="Z57" i="12" s="1"/>
  <c r="U71" i="12"/>
  <c r="V71" i="12" s="1"/>
  <c r="W71" i="12" s="1"/>
  <c r="X71" i="12" s="1"/>
  <c r="Z71" i="12" s="1"/>
  <c r="U63" i="12"/>
  <c r="V63" i="12" s="1"/>
  <c r="W63" i="12" s="1"/>
  <c r="X63" i="12" s="1"/>
  <c r="Z63" i="12" s="1"/>
  <c r="U34" i="12"/>
  <c r="V34" i="12" s="1"/>
  <c r="W34" i="12" s="1"/>
  <c r="X34" i="12" s="1"/>
  <c r="Z34" i="12" s="1"/>
  <c r="U18" i="12"/>
  <c r="V18" i="12" s="1"/>
  <c r="W18" i="12" s="1"/>
  <c r="X18" i="12" s="1"/>
  <c r="Z18" i="12" s="1"/>
  <c r="P6" i="12"/>
  <c r="Q6" i="12" s="1"/>
  <c r="P41" i="12"/>
  <c r="Q41" i="12" s="1"/>
  <c r="P14" i="12"/>
  <c r="Q14" i="12" s="1"/>
  <c r="P22" i="12"/>
  <c r="Q22" i="12" s="1"/>
  <c r="P30" i="12"/>
  <c r="Q30" i="12" s="1"/>
  <c r="P38" i="12"/>
  <c r="Q38" i="12" s="1"/>
  <c r="P44" i="12"/>
  <c r="Q44" i="12" s="1"/>
  <c r="P19" i="12"/>
  <c r="Q19" i="12" s="1"/>
  <c r="P27" i="12"/>
  <c r="Q27" i="12" s="1"/>
  <c r="P35" i="12"/>
  <c r="Q35" i="12" s="1"/>
  <c r="P59" i="12"/>
  <c r="Q59" i="12" s="1"/>
  <c r="P47" i="12"/>
  <c r="Q47" i="12" s="1"/>
  <c r="P57" i="12"/>
  <c r="Q57" i="12" s="1"/>
  <c r="P55" i="12"/>
  <c r="Q55" i="12" s="1"/>
  <c r="P68" i="12"/>
  <c r="Q68" i="12" s="1"/>
  <c r="P48" i="12"/>
  <c r="Q48" i="12" s="1"/>
  <c r="P58" i="12"/>
  <c r="Q58" i="12" s="1"/>
  <c r="U43" i="12"/>
  <c r="V43" i="12" s="1"/>
  <c r="W43" i="12" s="1"/>
  <c r="X43" i="12" s="1"/>
  <c r="Z43" i="12" s="1"/>
  <c r="U24" i="12"/>
  <c r="V24" i="12" s="1"/>
  <c r="W24" i="12" s="1"/>
  <c r="X24" i="12" s="1"/>
  <c r="Z24" i="12" s="1"/>
  <c r="AN9" i="12"/>
  <c r="AP9" i="12" s="1"/>
  <c r="AQ9" i="12" s="1"/>
  <c r="AM9" i="12"/>
  <c r="M76" i="12"/>
  <c r="M77" i="12" s="1"/>
  <c r="U30" i="12"/>
  <c r="V30" i="12" s="1"/>
  <c r="W30" i="12" s="1"/>
  <c r="X30" i="12" s="1"/>
  <c r="Z30" i="12" s="1"/>
  <c r="U14" i="12"/>
  <c r="V14" i="12" s="1"/>
  <c r="W14" i="12" s="1"/>
  <c r="X14" i="12" s="1"/>
  <c r="Z14" i="12" s="1"/>
  <c r="P9" i="12"/>
  <c r="Q9" i="12" s="1"/>
  <c r="P5" i="12"/>
  <c r="Q5" i="12" s="1"/>
  <c r="U47" i="12"/>
  <c r="V47" i="12" s="1"/>
  <c r="W47" i="12" s="1"/>
  <c r="X47" i="12" s="1"/>
  <c r="Z47" i="12" s="1"/>
  <c r="U36" i="12"/>
  <c r="V36" i="12" s="1"/>
  <c r="W36" i="12" s="1"/>
  <c r="X36" i="12" s="1"/>
  <c r="Z36" i="12" s="1"/>
  <c r="U20" i="12"/>
  <c r="V20" i="12" s="1"/>
  <c r="W20" i="12" s="1"/>
  <c r="X20" i="12" s="1"/>
  <c r="Z20" i="12" s="1"/>
  <c r="AN17" i="12"/>
  <c r="AP17" i="12" s="1"/>
  <c r="AQ17" i="12" s="1"/>
  <c r="AM17" i="12"/>
  <c r="AN25" i="12"/>
  <c r="AP25" i="12" s="1"/>
  <c r="AQ25" i="12" s="1"/>
  <c r="AM25" i="12"/>
  <c r="AN33" i="12"/>
  <c r="AP33" i="12" s="1"/>
  <c r="AQ33" i="12" s="1"/>
  <c r="AM33" i="12"/>
  <c r="AN47" i="12"/>
  <c r="AP47" i="12" s="1"/>
  <c r="AQ47" i="12" s="1"/>
  <c r="AM47" i="12"/>
  <c r="AN50" i="12"/>
  <c r="AP50" i="12" s="1"/>
  <c r="AQ50" i="12" s="1"/>
  <c r="AM50" i="12"/>
  <c r="AN64" i="12"/>
  <c r="AP64" i="12" s="1"/>
  <c r="AM64" i="12"/>
  <c r="AM59" i="12"/>
  <c r="AN59" i="12"/>
  <c r="AP59" i="12" s="1"/>
  <c r="AQ59" i="12" s="1"/>
  <c r="AN70" i="12"/>
  <c r="AP70" i="12" s="1"/>
  <c r="AQ70" i="12" s="1"/>
  <c r="AM70" i="12"/>
  <c r="X13" i="12"/>
  <c r="Z13" i="12" s="1"/>
  <c r="U52" i="9"/>
  <c r="V52" i="9" s="1"/>
  <c r="W52" i="9" s="1"/>
  <c r="X52" i="9" s="1"/>
  <c r="Z52" i="9" s="1"/>
  <c r="AN43" i="9"/>
  <c r="AP43" i="9" s="1"/>
  <c r="AQ43" i="9" s="1"/>
  <c r="AM43" i="9"/>
  <c r="AN33" i="9"/>
  <c r="AP33" i="9" s="1"/>
  <c r="AQ33" i="9" s="1"/>
  <c r="AM33" i="9"/>
  <c r="AM31" i="9"/>
  <c r="AN31" i="9"/>
  <c r="AP31" i="9" s="1"/>
  <c r="AQ31" i="9" s="1"/>
  <c r="AN27" i="9"/>
  <c r="AP27" i="9" s="1"/>
  <c r="AQ27" i="9" s="1"/>
  <c r="AM27" i="9"/>
  <c r="AN22" i="9"/>
  <c r="AP22" i="9" s="1"/>
  <c r="AQ22" i="9" s="1"/>
  <c r="AM22" i="9"/>
  <c r="P15" i="9"/>
  <c r="Q15" i="9" s="1"/>
  <c r="P28" i="9"/>
  <c r="Q28" i="9" s="1"/>
  <c r="P40" i="9"/>
  <c r="Q40" i="9" s="1"/>
  <c r="P62" i="9"/>
  <c r="Q62" i="9" s="1"/>
  <c r="P42" i="9"/>
  <c r="Q42" i="9" s="1"/>
  <c r="P59" i="9"/>
  <c r="Q59" i="9" s="1"/>
  <c r="P26" i="9"/>
  <c r="Q26" i="9" s="1"/>
  <c r="P51" i="9"/>
  <c r="Q51" i="9" s="1"/>
  <c r="P66" i="9"/>
  <c r="Q66" i="9" s="1"/>
  <c r="P48" i="9"/>
  <c r="Q48" i="9" s="1"/>
  <c r="P60" i="9"/>
  <c r="Q60" i="9" s="1"/>
  <c r="U68" i="9"/>
  <c r="V68" i="9" s="1"/>
  <c r="W68" i="9" s="1"/>
  <c r="X68" i="9" s="1"/>
  <c r="Z68" i="9" s="1"/>
  <c r="AM53" i="9"/>
  <c r="AN53" i="9"/>
  <c r="AP53" i="9" s="1"/>
  <c r="AQ53" i="9" s="1"/>
  <c r="U46" i="9"/>
  <c r="V46" i="9" s="1"/>
  <c r="W46" i="9" s="1"/>
  <c r="X46" i="9" s="1"/>
  <c r="Z46" i="9" s="1"/>
  <c r="U32" i="9"/>
  <c r="V32" i="9" s="1"/>
  <c r="W32" i="9" s="1"/>
  <c r="X32" i="9" s="1"/>
  <c r="Z32" i="9" s="1"/>
  <c r="P22" i="9"/>
  <c r="Q22" i="9" s="1"/>
  <c r="U59" i="9"/>
  <c r="V59" i="9" s="1"/>
  <c r="W59" i="9" s="1"/>
  <c r="X59" i="9" s="1"/>
  <c r="Z59" i="9" s="1"/>
  <c r="AM50" i="9"/>
  <c r="AN50" i="9"/>
  <c r="AP50" i="9" s="1"/>
  <c r="AQ50" i="9" s="1"/>
  <c r="U28" i="9"/>
  <c r="V28" i="9" s="1"/>
  <c r="W28" i="9" s="1"/>
  <c r="X28" i="9" s="1"/>
  <c r="Z28" i="9" s="1"/>
  <c r="P20" i="9"/>
  <c r="Q20" i="9" s="1"/>
  <c r="P13" i="9"/>
  <c r="Q13" i="9" s="1"/>
  <c r="U65" i="9"/>
  <c r="V65" i="9" s="1"/>
  <c r="W65" i="9" s="1"/>
  <c r="X65" i="9" s="1"/>
  <c r="Z65" i="9" s="1"/>
  <c r="U55" i="9"/>
  <c r="V55" i="9" s="1"/>
  <c r="W55" i="9" s="1"/>
  <c r="X55" i="9" s="1"/>
  <c r="Z55" i="9" s="1"/>
  <c r="P41" i="9"/>
  <c r="Q41" i="9" s="1"/>
  <c r="AM38" i="9"/>
  <c r="AN38" i="9"/>
  <c r="AP38" i="9" s="1"/>
  <c r="AQ38" i="9" s="1"/>
  <c r="AN5" i="9"/>
  <c r="AP5" i="9" s="1"/>
  <c r="AQ5" i="9" s="1"/>
  <c r="AM5" i="9"/>
  <c r="AM41" i="9"/>
  <c r="AN41" i="9"/>
  <c r="AP41" i="9" s="1"/>
  <c r="AQ41" i="9" s="1"/>
  <c r="AN36" i="9"/>
  <c r="AP36" i="9" s="1"/>
  <c r="AQ36" i="9" s="1"/>
  <c r="AM36" i="9"/>
  <c r="AN57" i="9"/>
  <c r="AP57" i="9" s="1"/>
  <c r="AQ57" i="9" s="1"/>
  <c r="AM57" i="9"/>
  <c r="AN45" i="9"/>
  <c r="AP45" i="9" s="1"/>
  <c r="AQ45" i="9" s="1"/>
  <c r="AM45" i="9"/>
  <c r="AN64" i="9"/>
  <c r="AP64" i="9" s="1"/>
  <c r="AQ64" i="9" s="1"/>
  <c r="AM64" i="9"/>
  <c r="AN56" i="9"/>
  <c r="AP56" i="9" s="1"/>
  <c r="AM56" i="9"/>
  <c r="AN69" i="9"/>
  <c r="AP69" i="9" s="1"/>
  <c r="AQ69" i="9" s="1"/>
  <c r="AM69" i="9"/>
  <c r="H76" i="5"/>
  <c r="X21" i="9"/>
  <c r="Z21" i="9" s="1"/>
  <c r="X20" i="9"/>
  <c r="Z20" i="9" s="1"/>
  <c r="X12" i="9"/>
  <c r="Z12" i="9" s="1"/>
  <c r="J39" i="5"/>
  <c r="J4" i="5"/>
  <c r="I5" i="16"/>
  <c r="I7" i="16" s="1"/>
  <c r="I10" i="16" s="1"/>
  <c r="U62" i="14"/>
  <c r="V62" i="14" s="1"/>
  <c r="W62" i="14" s="1"/>
  <c r="X62" i="14" s="1"/>
  <c r="Z62" i="14" s="1"/>
  <c r="U69" i="14"/>
  <c r="V69" i="14" s="1"/>
  <c r="W69" i="14" s="1"/>
  <c r="X69" i="14" s="1"/>
  <c r="Z69" i="14" s="1"/>
  <c r="U66" i="14"/>
  <c r="V66" i="14" s="1"/>
  <c r="W66" i="14" s="1"/>
  <c r="X66" i="14" s="1"/>
  <c r="Z66" i="14" s="1"/>
  <c r="U42" i="14"/>
  <c r="V42" i="14" s="1"/>
  <c r="W42" i="14" s="1"/>
  <c r="X42" i="14" s="1"/>
  <c r="Z42" i="14" s="1"/>
  <c r="U37" i="14"/>
  <c r="V37" i="14" s="1"/>
  <c r="W37" i="14" s="1"/>
  <c r="X37" i="14" s="1"/>
  <c r="Z37" i="14" s="1"/>
  <c r="U19" i="14"/>
  <c r="V19" i="14" s="1"/>
  <c r="W19" i="14" s="1"/>
  <c r="X19" i="14" s="1"/>
  <c r="Z19" i="14" s="1"/>
  <c r="AX6" i="14"/>
  <c r="AJ6" i="14"/>
  <c r="AK6" i="14" s="1"/>
  <c r="AM6" i="14" s="1"/>
  <c r="U27" i="14"/>
  <c r="V27" i="14" s="1"/>
  <c r="W27" i="14" s="1"/>
  <c r="X27" i="14" s="1"/>
  <c r="Z27" i="14" s="1"/>
  <c r="U18" i="14"/>
  <c r="V18" i="14" s="1"/>
  <c r="W18" i="14" s="1"/>
  <c r="X18" i="14" s="1"/>
  <c r="Z18" i="14" s="1"/>
  <c r="U13" i="14"/>
  <c r="V13" i="14" s="1"/>
  <c r="W13" i="14" s="1"/>
  <c r="X13" i="14" s="1"/>
  <c r="Z13" i="14" s="1"/>
  <c r="U25" i="14"/>
  <c r="V25" i="14" s="1"/>
  <c r="W25" i="14" s="1"/>
  <c r="X25" i="14" s="1"/>
  <c r="Z25" i="14" s="1"/>
  <c r="P7" i="14"/>
  <c r="Q7" i="14" s="1"/>
  <c r="AJ21" i="14"/>
  <c r="AK21" i="14" s="1"/>
  <c r="AM21" i="14" s="1"/>
  <c r="AX21" i="14"/>
  <c r="AJ16" i="14"/>
  <c r="AK16" i="14" s="1"/>
  <c r="AM16" i="14" s="1"/>
  <c r="AX16" i="14"/>
  <c r="AJ10" i="14"/>
  <c r="AK10" i="14" s="1"/>
  <c r="AM10" i="14" s="1"/>
  <c r="AX10" i="14"/>
  <c r="AX9" i="14"/>
  <c r="AJ9" i="14"/>
  <c r="AK9" i="14" s="1"/>
  <c r="AM9" i="14" s="1"/>
  <c r="AX22" i="14"/>
  <c r="AJ22" i="14"/>
  <c r="AK22" i="14" s="1"/>
  <c r="AM22" i="14" s="1"/>
  <c r="AJ38" i="14"/>
  <c r="AK38" i="14" s="1"/>
  <c r="AM38" i="14" s="1"/>
  <c r="AX38" i="14"/>
  <c r="AJ33" i="14"/>
  <c r="AK33" i="14" s="1"/>
  <c r="AM33" i="14" s="1"/>
  <c r="AX33" i="14"/>
  <c r="AX31" i="14"/>
  <c r="AJ31" i="14"/>
  <c r="AK31" i="14" s="1"/>
  <c r="AM31" i="14" s="1"/>
  <c r="AJ55" i="14"/>
  <c r="AK55" i="14" s="1"/>
  <c r="AX55" i="14"/>
  <c r="BG55" i="14" s="1"/>
  <c r="AX56" i="14"/>
  <c r="AJ56" i="14"/>
  <c r="AK56" i="14" s="1"/>
  <c r="AM56" i="14" s="1"/>
  <c r="AJ63" i="14"/>
  <c r="AK63" i="14" s="1"/>
  <c r="AM63" i="14" s="1"/>
  <c r="AX63" i="14"/>
  <c r="BG63" i="14" s="1"/>
  <c r="AJ61" i="14"/>
  <c r="AK61" i="14" s="1"/>
  <c r="AM61" i="14" s="1"/>
  <c r="AX61" i="14"/>
  <c r="AX59" i="14"/>
  <c r="AJ59" i="14"/>
  <c r="AK59" i="14" s="1"/>
  <c r="AM59" i="14" s="1"/>
  <c r="AJ72" i="14"/>
  <c r="AK72" i="14" s="1"/>
  <c r="AM72" i="14" s="1"/>
  <c r="AX72" i="14"/>
  <c r="P16" i="14"/>
  <c r="Q16" i="14" s="1"/>
  <c r="P15" i="14"/>
  <c r="Q15" i="14" s="1"/>
  <c r="P13" i="14"/>
  <c r="Q13" i="14" s="1"/>
  <c r="P26" i="14"/>
  <c r="Q26" i="14" s="1"/>
  <c r="P21" i="14"/>
  <c r="Q21" i="14" s="1"/>
  <c r="P37" i="14"/>
  <c r="Q37" i="14" s="1"/>
  <c r="P28" i="14"/>
  <c r="Q28" i="14" s="1"/>
  <c r="P31" i="14"/>
  <c r="Q31" i="14" s="1"/>
  <c r="P44" i="14"/>
  <c r="Q44" i="14" s="1"/>
  <c r="P38" i="14"/>
  <c r="Q38" i="14" s="1"/>
  <c r="P50" i="14"/>
  <c r="Q50" i="14" s="1"/>
  <c r="U50" i="14"/>
  <c r="V50" i="14" s="1"/>
  <c r="W50" i="14" s="1"/>
  <c r="X50" i="14" s="1"/>
  <c r="Z50" i="14" s="1"/>
  <c r="P57" i="14"/>
  <c r="Q57" i="14" s="1"/>
  <c r="P56" i="14"/>
  <c r="Q56" i="14" s="1"/>
  <c r="P66" i="14"/>
  <c r="Q66" i="14" s="1"/>
  <c r="P73" i="14"/>
  <c r="Q73" i="14" s="1"/>
  <c r="P70" i="14"/>
  <c r="Q70" i="14" s="1"/>
  <c r="P74" i="14"/>
  <c r="Q74" i="14" s="1"/>
  <c r="U75" i="12"/>
  <c r="V75" i="12" s="1"/>
  <c r="W75" i="12" s="1"/>
  <c r="X75" i="12" s="1"/>
  <c r="Z75" i="12" s="1"/>
  <c r="U54" i="12"/>
  <c r="V54" i="12" s="1"/>
  <c r="W54" i="12" s="1"/>
  <c r="X54" i="12" s="1"/>
  <c r="Z54" i="12" s="1"/>
  <c r="AN75" i="12"/>
  <c r="AP75" i="12" s="1"/>
  <c r="AQ75" i="12" s="1"/>
  <c r="AM75" i="12"/>
  <c r="U55" i="12"/>
  <c r="V55" i="12" s="1"/>
  <c r="W55" i="12" s="1"/>
  <c r="X55" i="12" s="1"/>
  <c r="Z55" i="12" s="1"/>
  <c r="U68" i="12"/>
  <c r="V68" i="12" s="1"/>
  <c r="W68" i="12" s="1"/>
  <c r="X68" i="12" s="1"/>
  <c r="Z68" i="12" s="1"/>
  <c r="U59" i="12"/>
  <c r="V59" i="12" s="1"/>
  <c r="W59" i="12" s="1"/>
  <c r="X59" i="12" s="1"/>
  <c r="Z59" i="12" s="1"/>
  <c r="U60" i="12"/>
  <c r="V60" i="12" s="1"/>
  <c r="W60" i="12" s="1"/>
  <c r="X60" i="12" s="1"/>
  <c r="Z60" i="12" s="1"/>
  <c r="U45" i="12"/>
  <c r="V45" i="12" s="1"/>
  <c r="W45" i="12" s="1"/>
  <c r="X45" i="12" s="1"/>
  <c r="Z45" i="12" s="1"/>
  <c r="U29" i="12"/>
  <c r="V29" i="12" s="1"/>
  <c r="W29" i="12" s="1"/>
  <c r="X29" i="12" s="1"/>
  <c r="Z29" i="12" s="1"/>
  <c r="P12" i="12"/>
  <c r="Q12" i="12" s="1"/>
  <c r="P43" i="12"/>
  <c r="Q43" i="12" s="1"/>
  <c r="P16" i="12"/>
  <c r="Q16" i="12" s="1"/>
  <c r="P24" i="12"/>
  <c r="Q24" i="12" s="1"/>
  <c r="P32" i="12"/>
  <c r="Q32" i="12" s="1"/>
  <c r="P45" i="12"/>
  <c r="Q45" i="12" s="1"/>
  <c r="U46" i="12"/>
  <c r="V46" i="12" s="1"/>
  <c r="W46" i="12" s="1"/>
  <c r="X46" i="12" s="1"/>
  <c r="Z46" i="12" s="1"/>
  <c r="P21" i="12"/>
  <c r="Q21" i="12" s="1"/>
  <c r="P29" i="12"/>
  <c r="Q29" i="12" s="1"/>
  <c r="P37" i="12"/>
  <c r="Q37" i="12" s="1"/>
  <c r="P65" i="12"/>
  <c r="Q65" i="12" s="1"/>
  <c r="P49" i="12"/>
  <c r="Q49" i="12" s="1"/>
  <c r="P63" i="12"/>
  <c r="Q63" i="12" s="1"/>
  <c r="P60" i="12"/>
  <c r="Q60" i="12" s="1"/>
  <c r="P72" i="12"/>
  <c r="Q72" i="12" s="1"/>
  <c r="P50" i="12"/>
  <c r="Q50" i="12" s="1"/>
  <c r="P64" i="12"/>
  <c r="Q64" i="12" s="1"/>
  <c r="U35" i="12"/>
  <c r="V35" i="12" s="1"/>
  <c r="W35" i="12" s="1"/>
  <c r="X35" i="12" s="1"/>
  <c r="Z35" i="12" s="1"/>
  <c r="U19" i="12"/>
  <c r="V19" i="12" s="1"/>
  <c r="W19" i="12" s="1"/>
  <c r="X19" i="12" s="1"/>
  <c r="Z19" i="12" s="1"/>
  <c r="U44" i="12"/>
  <c r="V44" i="12" s="1"/>
  <c r="W44" i="12" s="1"/>
  <c r="X44" i="12" s="1"/>
  <c r="Z44" i="12" s="1"/>
  <c r="U25" i="12"/>
  <c r="V25" i="12" s="1"/>
  <c r="W25" i="12" s="1"/>
  <c r="X25" i="12" s="1"/>
  <c r="Z25" i="12" s="1"/>
  <c r="P13" i="12"/>
  <c r="Q13" i="12" s="1"/>
  <c r="U41" i="12"/>
  <c r="V41" i="12" s="1"/>
  <c r="W41" i="12" s="1"/>
  <c r="X41" i="12" s="1"/>
  <c r="Z41" i="12" s="1"/>
  <c r="U31" i="12"/>
  <c r="V31" i="12" s="1"/>
  <c r="W31" i="12" s="1"/>
  <c r="X31" i="12" s="1"/>
  <c r="Z31" i="12" s="1"/>
  <c r="U15" i="12"/>
  <c r="V15" i="12" s="1"/>
  <c r="W15" i="12" s="1"/>
  <c r="X15" i="12" s="1"/>
  <c r="Z15" i="12" s="1"/>
  <c r="AN12" i="12"/>
  <c r="AP12" i="12" s="1"/>
  <c r="AQ12" i="12" s="1"/>
  <c r="AM12" i="12"/>
  <c r="AN8" i="12"/>
  <c r="AP8" i="12" s="1"/>
  <c r="AQ8" i="12" s="1"/>
  <c r="AM8" i="12"/>
  <c r="AN19" i="12"/>
  <c r="AP19" i="12" s="1"/>
  <c r="AQ19" i="12" s="1"/>
  <c r="AM19" i="12"/>
  <c r="AN27" i="12"/>
  <c r="AP27" i="12" s="1"/>
  <c r="AQ27" i="12" s="1"/>
  <c r="AM27" i="12"/>
  <c r="AN35" i="12"/>
  <c r="AP35" i="12" s="1"/>
  <c r="AQ35" i="12" s="1"/>
  <c r="AM35" i="12"/>
  <c r="AN40" i="12"/>
  <c r="AP40" i="12" s="1"/>
  <c r="AQ40" i="12" s="1"/>
  <c r="AM40" i="12"/>
  <c r="AN52" i="12"/>
  <c r="AP52" i="12" s="1"/>
  <c r="AQ52" i="12" s="1"/>
  <c r="AM52" i="12"/>
  <c r="AN69" i="12"/>
  <c r="AP69" i="12" s="1"/>
  <c r="AQ69" i="12" s="1"/>
  <c r="AM69" i="12"/>
  <c r="AM65" i="12"/>
  <c r="AN65" i="12"/>
  <c r="AP65" i="12" s="1"/>
  <c r="AQ65" i="12" s="1"/>
  <c r="AN55" i="12"/>
  <c r="AP55" i="12" s="1"/>
  <c r="AM55" i="12"/>
  <c r="AN68" i="12"/>
  <c r="AP68" i="12" s="1"/>
  <c r="AQ68" i="12" s="1"/>
  <c r="AM68" i="12"/>
  <c r="AN61" i="9"/>
  <c r="AP61" i="9" s="1"/>
  <c r="AQ61" i="9" s="1"/>
  <c r="AM61" i="9"/>
  <c r="AN49" i="9"/>
  <c r="AP49" i="9" s="1"/>
  <c r="AM49" i="9"/>
  <c r="AM65" i="9"/>
  <c r="AN65" i="9"/>
  <c r="AP65" i="9" s="1"/>
  <c r="AQ65" i="9" s="1"/>
  <c r="U47" i="9"/>
  <c r="V47" i="9" s="1"/>
  <c r="W47" i="9" s="1"/>
  <c r="X47" i="9" s="1"/>
  <c r="Z47" i="9" s="1"/>
  <c r="U43" i="9"/>
  <c r="V43" i="9" s="1"/>
  <c r="W43" i="9" s="1"/>
  <c r="X43" i="9" s="1"/>
  <c r="Z43" i="9" s="1"/>
  <c r="AN30" i="9"/>
  <c r="AP30" i="9" s="1"/>
  <c r="AQ30" i="9" s="1"/>
  <c r="AM30" i="9"/>
  <c r="AN29" i="9"/>
  <c r="AP29" i="9" s="1"/>
  <c r="AM29" i="9"/>
  <c r="P21" i="9"/>
  <c r="Q21" i="9" s="1"/>
  <c r="AN12" i="9"/>
  <c r="AP12" i="9" s="1"/>
  <c r="AQ12" i="9" s="1"/>
  <c r="AM12" i="9"/>
  <c r="S76" i="9"/>
  <c r="N79" i="9" s="1"/>
  <c r="O79" i="9" s="1"/>
  <c r="T4" i="9"/>
  <c r="P31" i="9"/>
  <c r="Q31" i="9" s="1"/>
  <c r="P52" i="9"/>
  <c r="Q52" i="9" s="1"/>
  <c r="P70" i="9"/>
  <c r="Q70" i="9" s="1"/>
  <c r="P45" i="9"/>
  <c r="Q45" i="9" s="1"/>
  <c r="P64" i="9"/>
  <c r="Q64" i="9" s="1"/>
  <c r="P33" i="9"/>
  <c r="Q33" i="9" s="1"/>
  <c r="P54" i="9"/>
  <c r="Q54" i="9" s="1"/>
  <c r="P68" i="9"/>
  <c r="Q68" i="9" s="1"/>
  <c r="P50" i="9"/>
  <c r="Q50" i="9" s="1"/>
  <c r="P65" i="9"/>
  <c r="Q65" i="9" s="1"/>
  <c r="U72" i="9"/>
  <c r="V72" i="9" s="1"/>
  <c r="W72" i="9" s="1"/>
  <c r="X72" i="9" s="1"/>
  <c r="Z72" i="9" s="1"/>
  <c r="U66" i="9"/>
  <c r="V66" i="9" s="1"/>
  <c r="W66" i="9" s="1"/>
  <c r="X66" i="9" s="1"/>
  <c r="Z66" i="9" s="1"/>
  <c r="U50" i="9"/>
  <c r="V50" i="9" s="1"/>
  <c r="W50" i="9" s="1"/>
  <c r="X50" i="9" s="1"/>
  <c r="Z50" i="9" s="1"/>
  <c r="U41" i="9"/>
  <c r="V41" i="9" s="1"/>
  <c r="W41" i="9" s="1"/>
  <c r="X41" i="9" s="1"/>
  <c r="Z41" i="9" s="1"/>
  <c r="U27" i="9"/>
  <c r="V27" i="9" s="1"/>
  <c r="W27" i="9" s="1"/>
  <c r="X27" i="9" s="1"/>
  <c r="Z27" i="9" s="1"/>
  <c r="AI4" i="9"/>
  <c r="AM74" i="9"/>
  <c r="AN74" i="9"/>
  <c r="AP74" i="9" s="1"/>
  <c r="AQ74" i="9" s="1"/>
  <c r="U58" i="9"/>
  <c r="V58" i="9" s="1"/>
  <c r="W58" i="9" s="1"/>
  <c r="X58" i="9" s="1"/>
  <c r="Z58" i="9" s="1"/>
  <c r="AM48" i="9"/>
  <c r="AN48" i="9"/>
  <c r="AP48" i="9" s="1"/>
  <c r="P9" i="9"/>
  <c r="Q9" i="9" s="1"/>
  <c r="U75" i="9"/>
  <c r="V75" i="9" s="1"/>
  <c r="W75" i="9" s="1"/>
  <c r="X75" i="9" s="1"/>
  <c r="Z75" i="9" s="1"/>
  <c r="U63" i="9"/>
  <c r="V63" i="9" s="1"/>
  <c r="W63" i="9" s="1"/>
  <c r="X63" i="9" s="1"/>
  <c r="Z63" i="9" s="1"/>
  <c r="U51" i="9"/>
  <c r="V51" i="9" s="1"/>
  <c r="W51" i="9" s="1"/>
  <c r="X51" i="9" s="1"/>
  <c r="Z51" i="9" s="1"/>
  <c r="AN42" i="9"/>
  <c r="AP42" i="9" s="1"/>
  <c r="AM42" i="9"/>
  <c r="AN39" i="9"/>
  <c r="AP39" i="9" s="1"/>
  <c r="AQ39" i="9" s="1"/>
  <c r="AM39" i="9"/>
  <c r="AN37" i="9"/>
  <c r="AP37" i="9" s="1"/>
  <c r="AQ37" i="9" s="1"/>
  <c r="AM37" i="9"/>
  <c r="P23" i="9"/>
  <c r="Q23" i="9" s="1"/>
  <c r="P11" i="9"/>
  <c r="Q11" i="9" s="1"/>
  <c r="AJ76" i="9"/>
  <c r="AN40" i="9"/>
  <c r="AP40" i="9" s="1"/>
  <c r="AQ40" i="9" s="1"/>
  <c r="AM40" i="9"/>
  <c r="AN62" i="9"/>
  <c r="AP62" i="9" s="1"/>
  <c r="AM62" i="9"/>
  <c r="AN47" i="9"/>
  <c r="AP47" i="9" s="1"/>
  <c r="AQ47" i="9" s="1"/>
  <c r="AM47" i="9"/>
  <c r="AN63" i="9"/>
  <c r="AP63" i="9" s="1"/>
  <c r="AQ63" i="9" s="1"/>
  <c r="AM63" i="9"/>
  <c r="AN75" i="9"/>
  <c r="AP75" i="9" s="1"/>
  <c r="AM75" i="9"/>
  <c r="K5" i="6"/>
  <c r="J53" i="5"/>
  <c r="J69" i="5"/>
  <c r="AN6" i="9"/>
  <c r="AP6" i="9" s="1"/>
  <c r="AQ6" i="9" s="1"/>
  <c r="AM6" i="9"/>
  <c r="J35" i="5"/>
  <c r="H75" i="18"/>
  <c r="J4" i="18"/>
  <c r="I75" i="18"/>
  <c r="U75" i="14"/>
  <c r="V75" i="14" s="1"/>
  <c r="W75" i="14" s="1"/>
  <c r="X75" i="14" s="1"/>
  <c r="Z75" i="14" s="1"/>
  <c r="U74" i="14"/>
  <c r="V74" i="14" s="1"/>
  <c r="W74" i="14" s="1"/>
  <c r="X74" i="14" s="1"/>
  <c r="Z74" i="14" s="1"/>
  <c r="U71" i="14"/>
  <c r="V71" i="14" s="1"/>
  <c r="W71" i="14" s="1"/>
  <c r="X71" i="14" s="1"/>
  <c r="Z71" i="14" s="1"/>
  <c r="U65" i="14"/>
  <c r="V65" i="14" s="1"/>
  <c r="W65" i="14" s="1"/>
  <c r="X65" i="14" s="1"/>
  <c r="Z65" i="14" s="1"/>
  <c r="U53" i="14"/>
  <c r="V53" i="14" s="1"/>
  <c r="W53" i="14" s="1"/>
  <c r="X53" i="14" s="1"/>
  <c r="Z53" i="14" s="1"/>
  <c r="U54" i="14"/>
  <c r="V54" i="14" s="1"/>
  <c r="W54" i="14" s="1"/>
  <c r="X54" i="14" s="1"/>
  <c r="Z54" i="14" s="1"/>
  <c r="U60" i="14"/>
  <c r="V60" i="14" s="1"/>
  <c r="W60" i="14" s="1"/>
  <c r="X60" i="14" s="1"/>
  <c r="Z60" i="14" s="1"/>
  <c r="U46" i="14"/>
  <c r="V46" i="14" s="1"/>
  <c r="W46" i="14" s="1"/>
  <c r="X46" i="14" s="1"/>
  <c r="Z46" i="14" s="1"/>
  <c r="U41" i="14"/>
  <c r="V41" i="14" s="1"/>
  <c r="W41" i="14" s="1"/>
  <c r="X41" i="14" s="1"/>
  <c r="Z41" i="14" s="1"/>
  <c r="U33" i="14"/>
  <c r="V33" i="14" s="1"/>
  <c r="W33" i="14" s="1"/>
  <c r="X33" i="14" s="1"/>
  <c r="Z33" i="14" s="1"/>
  <c r="U44" i="14"/>
  <c r="V44" i="14" s="1"/>
  <c r="W44" i="14" s="1"/>
  <c r="X44" i="14" s="1"/>
  <c r="Z44" i="14" s="1"/>
  <c r="U36" i="14"/>
  <c r="V36" i="14" s="1"/>
  <c r="W36" i="14" s="1"/>
  <c r="X36" i="14" s="1"/>
  <c r="Z36" i="14" s="1"/>
  <c r="U39" i="14"/>
  <c r="V39" i="14" s="1"/>
  <c r="W39" i="14" s="1"/>
  <c r="X39" i="14" s="1"/>
  <c r="Z39" i="14" s="1"/>
  <c r="U15" i="14"/>
  <c r="V15" i="14" s="1"/>
  <c r="W15" i="14" s="1"/>
  <c r="X15" i="14" s="1"/>
  <c r="Z15" i="14" s="1"/>
  <c r="P5" i="14"/>
  <c r="Q5" i="14" s="1"/>
  <c r="U22" i="14"/>
  <c r="V22" i="14" s="1"/>
  <c r="W22" i="14" s="1"/>
  <c r="X22" i="14" s="1"/>
  <c r="Z22" i="14" s="1"/>
  <c r="U17" i="14"/>
  <c r="V17" i="14" s="1"/>
  <c r="W17" i="14" s="1"/>
  <c r="X17" i="14" s="1"/>
  <c r="Z17" i="14" s="1"/>
  <c r="U12" i="14"/>
  <c r="V12" i="14" s="1"/>
  <c r="W12" i="14" s="1"/>
  <c r="X12" i="14" s="1"/>
  <c r="Z12" i="14" s="1"/>
  <c r="P6" i="14"/>
  <c r="Q6" i="14" s="1"/>
  <c r="U11" i="14"/>
  <c r="V11" i="14" s="1"/>
  <c r="W11" i="14" s="1"/>
  <c r="X11" i="14" s="1"/>
  <c r="Z11" i="14" s="1"/>
  <c r="AJ25" i="14"/>
  <c r="AK25" i="14" s="1"/>
  <c r="AM25" i="14" s="1"/>
  <c r="AX25" i="14"/>
  <c r="AJ20" i="14"/>
  <c r="AK20" i="14" s="1"/>
  <c r="AM20" i="14" s="1"/>
  <c r="AX20" i="14"/>
  <c r="AX26" i="14"/>
  <c r="AJ26" i="14"/>
  <c r="AK26" i="14" s="1"/>
  <c r="AM26" i="14" s="1"/>
  <c r="AJ43" i="14"/>
  <c r="AK43" i="14" s="1"/>
  <c r="AM43" i="14" s="1"/>
  <c r="AX43" i="14"/>
  <c r="AJ37" i="14"/>
  <c r="AK37" i="14" s="1"/>
  <c r="AM37" i="14" s="1"/>
  <c r="AX37" i="14"/>
  <c r="AJ36" i="14"/>
  <c r="AK36" i="14" s="1"/>
  <c r="AM36" i="14" s="1"/>
  <c r="AX36" i="14"/>
  <c r="AX35" i="14"/>
  <c r="AJ35" i="14"/>
  <c r="AK35" i="14" s="1"/>
  <c r="AM35" i="14" s="1"/>
  <c r="AX45" i="14"/>
  <c r="BG45" i="14" s="1"/>
  <c r="AJ45" i="14"/>
  <c r="AK45" i="14" s="1"/>
  <c r="AM45" i="14" s="1"/>
  <c r="AJ58" i="14"/>
  <c r="AK58" i="14" s="1"/>
  <c r="AM58" i="14" s="1"/>
  <c r="AX58" i="14"/>
  <c r="BG58" i="14" s="1"/>
  <c r="AJ65" i="14"/>
  <c r="AK65" i="14" s="1"/>
  <c r="AM65" i="14" s="1"/>
  <c r="AX65" i="14"/>
  <c r="AX64" i="14"/>
  <c r="AJ64" i="14"/>
  <c r="AK64" i="14" s="1"/>
  <c r="AM64" i="14" s="1"/>
  <c r="AN66" i="12"/>
  <c r="AP66" i="12" s="1"/>
  <c r="AQ66" i="12" s="1"/>
  <c r="AM66" i="12"/>
  <c r="P20" i="14"/>
  <c r="Q20" i="14" s="1"/>
  <c r="P19" i="14"/>
  <c r="Q19" i="14" s="1"/>
  <c r="P14" i="14"/>
  <c r="Q14" i="14" s="1"/>
  <c r="P8" i="14"/>
  <c r="Q8" i="14" s="1"/>
  <c r="P25" i="14"/>
  <c r="Q25" i="14" s="1"/>
  <c r="P42" i="14"/>
  <c r="Q42" i="14" s="1"/>
  <c r="P32" i="14"/>
  <c r="Q32" i="14" s="1"/>
  <c r="P35" i="14"/>
  <c r="Q35" i="14" s="1"/>
  <c r="P45" i="14"/>
  <c r="Q45" i="14" s="1"/>
  <c r="P43" i="14"/>
  <c r="Q43" i="14" s="1"/>
  <c r="P55" i="14"/>
  <c r="Q55" i="14" s="1"/>
  <c r="P53" i="14"/>
  <c r="Q53" i="14" s="1"/>
  <c r="U58" i="14"/>
  <c r="V58" i="14" s="1"/>
  <c r="W58" i="14" s="1"/>
  <c r="X58" i="14" s="1"/>
  <c r="Z58" i="14" s="1"/>
  <c r="P60" i="14"/>
  <c r="Q60" i="14" s="1"/>
  <c r="P67" i="14"/>
  <c r="Q67" i="14" s="1"/>
  <c r="P64" i="14"/>
  <c r="Q64" i="14" s="1"/>
  <c r="P71" i="14"/>
  <c r="Q71" i="14" s="1"/>
  <c r="U69" i="12"/>
  <c r="V69" i="12" s="1"/>
  <c r="W69" i="12" s="1"/>
  <c r="X69" i="12" s="1"/>
  <c r="Z69" i="12" s="1"/>
  <c r="U70" i="12"/>
  <c r="V70" i="12" s="1"/>
  <c r="W70" i="12" s="1"/>
  <c r="X70" i="12" s="1"/>
  <c r="Z70" i="12" s="1"/>
  <c r="U53" i="12"/>
  <c r="V53" i="12" s="1"/>
  <c r="W53" i="12" s="1"/>
  <c r="X53" i="12" s="1"/>
  <c r="Z53" i="12" s="1"/>
  <c r="U67" i="12"/>
  <c r="V67" i="12" s="1"/>
  <c r="W67" i="12" s="1"/>
  <c r="X67" i="12" s="1"/>
  <c r="Z67" i="12" s="1"/>
  <c r="U58" i="12"/>
  <c r="V58" i="12" s="1"/>
  <c r="W58" i="12" s="1"/>
  <c r="X58" i="12" s="1"/>
  <c r="Z58" i="12" s="1"/>
  <c r="U73" i="12"/>
  <c r="V73" i="12" s="1"/>
  <c r="W73" i="12" s="1"/>
  <c r="X73" i="12" s="1"/>
  <c r="Z73" i="12" s="1"/>
  <c r="U56" i="12"/>
  <c r="V56" i="12" s="1"/>
  <c r="W56" i="12" s="1"/>
  <c r="X56" i="12" s="1"/>
  <c r="Z56" i="12" s="1"/>
  <c r="U42" i="12"/>
  <c r="V42" i="12" s="1"/>
  <c r="W42" i="12" s="1"/>
  <c r="X42" i="12" s="1"/>
  <c r="Z42" i="12" s="1"/>
  <c r="U26" i="12"/>
  <c r="V26" i="12" s="1"/>
  <c r="W26" i="12" s="1"/>
  <c r="X26" i="12" s="1"/>
  <c r="Z26" i="12" s="1"/>
  <c r="P10" i="12"/>
  <c r="Q10" i="12" s="1"/>
  <c r="S76" i="12"/>
  <c r="N79" i="12" s="1"/>
  <c r="O79" i="12" s="1"/>
  <c r="U48" i="12"/>
  <c r="V48" i="12" s="1"/>
  <c r="W48" i="12" s="1"/>
  <c r="X48" i="12" s="1"/>
  <c r="Z48" i="12" s="1"/>
  <c r="P18" i="12"/>
  <c r="Q18" i="12" s="1"/>
  <c r="P26" i="12"/>
  <c r="Q26" i="12" s="1"/>
  <c r="P34" i="12"/>
  <c r="Q34" i="12" s="1"/>
  <c r="P40" i="12"/>
  <c r="Q40" i="12" s="1"/>
  <c r="P15" i="12"/>
  <c r="Q15" i="12" s="1"/>
  <c r="P23" i="12"/>
  <c r="Q23" i="12" s="1"/>
  <c r="P31" i="12"/>
  <c r="Q31" i="12" s="1"/>
  <c r="P39" i="12"/>
  <c r="Q39" i="12" s="1"/>
  <c r="P73" i="12"/>
  <c r="Q73" i="12" s="1"/>
  <c r="P51" i="12"/>
  <c r="Q51" i="12" s="1"/>
  <c r="P67" i="12"/>
  <c r="Q67" i="12" s="1"/>
  <c r="P62" i="12"/>
  <c r="Q62" i="12" s="1"/>
  <c r="P74" i="12"/>
  <c r="Q74" i="12" s="1"/>
  <c r="P52" i="12"/>
  <c r="Q52" i="12" s="1"/>
  <c r="P69" i="12"/>
  <c r="Q69" i="12" s="1"/>
  <c r="U32" i="12"/>
  <c r="V32" i="12" s="1"/>
  <c r="W32" i="12" s="1"/>
  <c r="X32" i="12" s="1"/>
  <c r="Z32" i="12" s="1"/>
  <c r="U16" i="12"/>
  <c r="V16" i="12" s="1"/>
  <c r="W16" i="12" s="1"/>
  <c r="X16" i="12" s="1"/>
  <c r="Z16" i="12" s="1"/>
  <c r="AN5" i="12"/>
  <c r="AP5" i="12" s="1"/>
  <c r="AQ5" i="12" s="1"/>
  <c r="AM5" i="12"/>
  <c r="U38" i="12"/>
  <c r="V38" i="12" s="1"/>
  <c r="W38" i="12" s="1"/>
  <c r="X38" i="12" s="1"/>
  <c r="Z38" i="12" s="1"/>
  <c r="U22" i="12"/>
  <c r="V22" i="12" s="1"/>
  <c r="W22" i="12" s="1"/>
  <c r="X22" i="12" s="1"/>
  <c r="Z22" i="12" s="1"/>
  <c r="P11" i="12"/>
  <c r="Q11" i="12" s="1"/>
  <c r="P7" i="12"/>
  <c r="Q7" i="12" s="1"/>
  <c r="U40" i="12"/>
  <c r="V40" i="12" s="1"/>
  <c r="W40" i="12" s="1"/>
  <c r="X40" i="12" s="1"/>
  <c r="Z40" i="12" s="1"/>
  <c r="U28" i="12"/>
  <c r="V28" i="12" s="1"/>
  <c r="W28" i="12" s="1"/>
  <c r="X28" i="12" s="1"/>
  <c r="Z28" i="12" s="1"/>
  <c r="AD76" i="12"/>
  <c r="AD77" i="12" s="1"/>
  <c r="AD79" i="12" s="1"/>
  <c r="AH4" i="12"/>
  <c r="AN21" i="12"/>
  <c r="AP21" i="12" s="1"/>
  <c r="AQ21" i="12" s="1"/>
  <c r="AM21" i="12"/>
  <c r="AN29" i="12"/>
  <c r="AP29" i="12" s="1"/>
  <c r="AQ29" i="12" s="1"/>
  <c r="AM29" i="12"/>
  <c r="AN37" i="12"/>
  <c r="AP37" i="12" s="1"/>
  <c r="AQ37" i="12" s="1"/>
  <c r="AM37" i="12"/>
  <c r="AM41" i="12"/>
  <c r="AN41" i="12"/>
  <c r="AP41" i="12" s="1"/>
  <c r="AQ41" i="12" s="1"/>
  <c r="AN42" i="12"/>
  <c r="AP42" i="12" s="1"/>
  <c r="AQ42" i="12" s="1"/>
  <c r="AM42" i="12"/>
  <c r="AN56" i="12"/>
  <c r="AP56" i="12" s="1"/>
  <c r="AQ56" i="12" s="1"/>
  <c r="AM56" i="12"/>
  <c r="AM71" i="12"/>
  <c r="AN71" i="12"/>
  <c r="AP71" i="12" s="1"/>
  <c r="AQ71" i="12" s="1"/>
  <c r="AM73" i="12"/>
  <c r="AN73" i="12"/>
  <c r="AP73" i="12" s="1"/>
  <c r="AQ73" i="12" s="1"/>
  <c r="AN60" i="12"/>
  <c r="AP60" i="12" s="1"/>
  <c r="AQ60" i="12" s="1"/>
  <c r="AM60" i="12"/>
  <c r="AN72" i="12"/>
  <c r="AP72" i="12" s="1"/>
  <c r="AQ72" i="12" s="1"/>
  <c r="AM72" i="12"/>
  <c r="AN72" i="9"/>
  <c r="AP72" i="9" s="1"/>
  <c r="AQ72" i="9" s="1"/>
  <c r="AM72" i="9"/>
  <c r="AM71" i="9"/>
  <c r="AN71" i="9"/>
  <c r="AP71" i="9" s="1"/>
  <c r="AM60" i="9"/>
  <c r="AN60" i="9"/>
  <c r="AP60" i="9" s="1"/>
  <c r="U45" i="9"/>
  <c r="V45" i="9" s="1"/>
  <c r="W45" i="9" s="1"/>
  <c r="X45" i="9" s="1"/>
  <c r="Z45" i="9" s="1"/>
  <c r="U35" i="9"/>
  <c r="V35" i="9" s="1"/>
  <c r="W35" i="9" s="1"/>
  <c r="X35" i="9" s="1"/>
  <c r="Z35" i="9" s="1"/>
  <c r="AN32" i="9"/>
  <c r="AP32" i="9" s="1"/>
  <c r="AQ32" i="9" s="1"/>
  <c r="AM32" i="9"/>
  <c r="P29" i="9"/>
  <c r="Q29" i="9" s="1"/>
  <c r="P27" i="9"/>
  <c r="Q27" i="9" s="1"/>
  <c r="AN19" i="9"/>
  <c r="AP19" i="9" s="1"/>
  <c r="AQ19" i="9" s="1"/>
  <c r="AM19" i="9"/>
  <c r="P10" i="9"/>
  <c r="Q10" i="9" s="1"/>
  <c r="O76" i="9"/>
  <c r="P4" i="9"/>
  <c r="Q4" i="9" s="1"/>
  <c r="P34" i="9"/>
  <c r="Q34" i="9" s="1"/>
  <c r="P55" i="9"/>
  <c r="Q55" i="9" s="1"/>
  <c r="P73" i="9"/>
  <c r="Q73" i="9" s="1"/>
  <c r="P47" i="9"/>
  <c r="Q47" i="9" s="1"/>
  <c r="P67" i="9"/>
  <c r="Q67" i="9" s="1"/>
  <c r="P38" i="9"/>
  <c r="Q38" i="9" s="1"/>
  <c r="P56" i="9"/>
  <c r="Q56" i="9" s="1"/>
  <c r="P69" i="9"/>
  <c r="Q69" i="9" s="1"/>
  <c r="P53" i="9"/>
  <c r="Q53" i="9" s="1"/>
  <c r="P71" i="9"/>
  <c r="Q71" i="9" s="1"/>
  <c r="U74" i="9"/>
  <c r="V74" i="9" s="1"/>
  <c r="W74" i="9" s="1"/>
  <c r="X74" i="9" s="1"/>
  <c r="Z74" i="9" s="1"/>
  <c r="U62" i="9"/>
  <c r="V62" i="9" s="1"/>
  <c r="W62" i="9" s="1"/>
  <c r="X62" i="9" s="1"/>
  <c r="Z62" i="9" s="1"/>
  <c r="U49" i="9"/>
  <c r="V49" i="9" s="1"/>
  <c r="W49" i="9" s="1"/>
  <c r="X49" i="9" s="1"/>
  <c r="Z49" i="9" s="1"/>
  <c r="U36" i="9"/>
  <c r="V36" i="9" s="1"/>
  <c r="W36" i="9" s="1"/>
  <c r="X36" i="9" s="1"/>
  <c r="Z36" i="9" s="1"/>
  <c r="U30" i="9"/>
  <c r="V30" i="9" s="1"/>
  <c r="W30" i="9" s="1"/>
  <c r="X30" i="9" s="1"/>
  <c r="Z30" i="9" s="1"/>
  <c r="P19" i="9"/>
  <c r="Q19" i="9" s="1"/>
  <c r="P8" i="9"/>
  <c r="Q8" i="9" s="1"/>
  <c r="X9" i="12"/>
  <c r="Z9" i="12" s="1"/>
  <c r="X5" i="12"/>
  <c r="Z5" i="12" s="1"/>
  <c r="U69" i="9"/>
  <c r="V69" i="9" s="1"/>
  <c r="W69" i="9" s="1"/>
  <c r="X69" i="9" s="1"/>
  <c r="Z69" i="9" s="1"/>
  <c r="U57" i="9"/>
  <c r="V57" i="9" s="1"/>
  <c r="W57" i="9" s="1"/>
  <c r="X57" i="9" s="1"/>
  <c r="Z57" i="9" s="1"/>
  <c r="P43" i="9"/>
  <c r="Q43" i="9" s="1"/>
  <c r="U33" i="9"/>
  <c r="V33" i="9" s="1"/>
  <c r="W33" i="9" s="1"/>
  <c r="X33" i="9" s="1"/>
  <c r="Z33" i="9" s="1"/>
  <c r="P25" i="9"/>
  <c r="Q25" i="9" s="1"/>
  <c r="P16" i="9"/>
  <c r="Q16" i="9" s="1"/>
  <c r="W4" i="12"/>
  <c r="U71" i="9"/>
  <c r="V71" i="9" s="1"/>
  <c r="W71" i="9" s="1"/>
  <c r="X71" i="9" s="1"/>
  <c r="Z71" i="9" s="1"/>
  <c r="U60" i="9"/>
  <c r="V60" i="9" s="1"/>
  <c r="W60" i="9" s="1"/>
  <c r="X60" i="9" s="1"/>
  <c r="Z60" i="9" s="1"/>
  <c r="P46" i="9"/>
  <c r="Q46" i="9" s="1"/>
  <c r="U37" i="9"/>
  <c r="V37" i="9" s="1"/>
  <c r="W37" i="9" s="1"/>
  <c r="X37" i="9" s="1"/>
  <c r="Z37" i="9" s="1"/>
  <c r="AN10" i="9"/>
  <c r="AP10" i="9" s="1"/>
  <c r="AM10" i="9"/>
  <c r="AM35" i="9"/>
  <c r="AN35" i="9"/>
  <c r="AP35" i="9" s="1"/>
  <c r="AM46" i="9"/>
  <c r="AN46" i="9"/>
  <c r="AP46" i="9" s="1"/>
  <c r="AQ46" i="9" s="1"/>
  <c r="AN52" i="9"/>
  <c r="AP52" i="9" s="1"/>
  <c r="AQ52" i="9" s="1"/>
  <c r="AM52" i="9"/>
  <c r="AN70" i="9"/>
  <c r="AP70" i="9" s="1"/>
  <c r="AQ70" i="9" s="1"/>
  <c r="AM70" i="9"/>
  <c r="AN51" i="9"/>
  <c r="AP51" i="9" s="1"/>
  <c r="AM51" i="9"/>
  <c r="AN66" i="9"/>
  <c r="AP66" i="9" s="1"/>
  <c r="AQ66" i="9" s="1"/>
  <c r="AM66" i="9"/>
  <c r="J77" i="7"/>
  <c r="K5" i="7"/>
  <c r="X24" i="9"/>
  <c r="Z24" i="9" s="1"/>
  <c r="X13" i="9"/>
  <c r="Z13" i="9" s="1"/>
  <c r="J74" i="5"/>
  <c r="X44" i="9"/>
  <c r="Z44" i="9" s="1"/>
  <c r="J31" i="5"/>
  <c r="AP44" i="14" l="1"/>
  <c r="AR44" i="14" s="1"/>
  <c r="AS44" i="14" s="1"/>
  <c r="AP75" i="14"/>
  <c r="AR75" i="14" s="1"/>
  <c r="AS75" i="14" s="1"/>
  <c r="AP39" i="14"/>
  <c r="AR39" i="14" s="1"/>
  <c r="AS39" i="14" s="1"/>
  <c r="U4" i="14"/>
  <c r="U76" i="14" s="1"/>
  <c r="AP67" i="14"/>
  <c r="AR67" i="14" s="1"/>
  <c r="AS67" i="14" s="1"/>
  <c r="AO62" i="14"/>
  <c r="AW62" i="14" s="1"/>
  <c r="AY62" i="14" s="1"/>
  <c r="AZ62" i="14" s="1"/>
  <c r="BA62" i="14" s="1"/>
  <c r="BC62" i="14" s="1"/>
  <c r="BG62" i="14" s="1"/>
  <c r="AP66" i="14"/>
  <c r="AR66" i="14" s="1"/>
  <c r="AS66" i="14" s="1"/>
  <c r="J76" i="5"/>
  <c r="AY5" i="14"/>
  <c r="AZ5" i="14" s="1"/>
  <c r="BA5" i="14" s="1"/>
  <c r="BC5" i="14" s="1"/>
  <c r="BG5" i="14" s="1"/>
  <c r="AD76" i="9"/>
  <c r="AD77" i="9" s="1"/>
  <c r="J75" i="18"/>
  <c r="AH76" i="9"/>
  <c r="Q76" i="14"/>
  <c r="Q76" i="9"/>
  <c r="Q76" i="12"/>
  <c r="AP65" i="14"/>
  <c r="AR65" i="14" s="1"/>
  <c r="AS65" i="14" s="1"/>
  <c r="AO65" i="14"/>
  <c r="AW65" i="14" s="1"/>
  <c r="AY65" i="14" s="1"/>
  <c r="AO37" i="14"/>
  <c r="AW37" i="14" s="1"/>
  <c r="AY37" i="14" s="1"/>
  <c r="AP37" i="14"/>
  <c r="AR37" i="14" s="1"/>
  <c r="AS37" i="14" s="1"/>
  <c r="L5" i="7"/>
  <c r="K77" i="7"/>
  <c r="AP64" i="14"/>
  <c r="AR64" i="14" s="1"/>
  <c r="AS64" i="14" s="1"/>
  <c r="AO64" i="14"/>
  <c r="AW64" i="14" s="1"/>
  <c r="AY64" i="14" s="1"/>
  <c r="AP45" i="14"/>
  <c r="AR45" i="14" s="1"/>
  <c r="AS45" i="14" s="1"/>
  <c r="AO45" i="14"/>
  <c r="AW45" i="14" s="1"/>
  <c r="AY45" i="14" s="1"/>
  <c r="AP25" i="14"/>
  <c r="AR25" i="14" s="1"/>
  <c r="AS25" i="14" s="1"/>
  <c r="AO25" i="14"/>
  <c r="AW25" i="14" s="1"/>
  <c r="AY25" i="14" s="1"/>
  <c r="AP56" i="14"/>
  <c r="AR56" i="14" s="1"/>
  <c r="AS56" i="14" s="1"/>
  <c r="AO56" i="14"/>
  <c r="AW56" i="14" s="1"/>
  <c r="AY56" i="14" s="1"/>
  <c r="AO33" i="14"/>
  <c r="AW33" i="14" s="1"/>
  <c r="AY33" i="14" s="1"/>
  <c r="AP33" i="14"/>
  <c r="AR33" i="14" s="1"/>
  <c r="AS33" i="14" s="1"/>
  <c r="AP10" i="14"/>
  <c r="AR10" i="14" s="1"/>
  <c r="AS10" i="14" s="1"/>
  <c r="AO10" i="14"/>
  <c r="AW10" i="14" s="1"/>
  <c r="AY10" i="14" s="1"/>
  <c r="AP21" i="14"/>
  <c r="AR21" i="14" s="1"/>
  <c r="AS21" i="14" s="1"/>
  <c r="AO21" i="14"/>
  <c r="AW21" i="14" s="1"/>
  <c r="AY21" i="14" s="1"/>
  <c r="AY55" i="14"/>
  <c r="AZ67" i="14"/>
  <c r="BA67" i="14" s="1"/>
  <c r="BC67" i="14" s="1"/>
  <c r="BG67" i="14" s="1"/>
  <c r="AO73" i="14"/>
  <c r="AW73" i="14" s="1"/>
  <c r="AY73" i="14" s="1"/>
  <c r="AP73" i="14"/>
  <c r="AR73" i="14" s="1"/>
  <c r="AS73" i="14" s="1"/>
  <c r="AO60" i="14"/>
  <c r="AW60" i="14" s="1"/>
  <c r="AY60" i="14" s="1"/>
  <c r="AP60" i="14"/>
  <c r="AR60" i="14" s="1"/>
  <c r="AS60" i="14" s="1"/>
  <c r="AO27" i="14"/>
  <c r="AW27" i="14" s="1"/>
  <c r="AY27" i="14" s="1"/>
  <c r="AP27" i="14"/>
  <c r="AR27" i="14" s="1"/>
  <c r="AS27" i="14" s="1"/>
  <c r="AO29" i="14"/>
  <c r="AW29" i="14" s="1"/>
  <c r="AY29" i="14" s="1"/>
  <c r="AP29" i="14"/>
  <c r="AR29" i="14" s="1"/>
  <c r="AS29" i="14" s="1"/>
  <c r="AP28" i="14"/>
  <c r="AR28" i="14" s="1"/>
  <c r="AS28" i="14" s="1"/>
  <c r="AO28" i="14"/>
  <c r="AW28" i="14" s="1"/>
  <c r="AY28" i="14" s="1"/>
  <c r="AP17" i="14"/>
  <c r="AR17" i="14" s="1"/>
  <c r="AS17" i="14" s="1"/>
  <c r="AO17" i="14"/>
  <c r="AW17" i="14" s="1"/>
  <c r="AY17" i="14" s="1"/>
  <c r="AO42" i="14"/>
  <c r="AW42" i="14" s="1"/>
  <c r="AY42" i="14" s="1"/>
  <c r="AP42" i="14"/>
  <c r="AR42" i="14" s="1"/>
  <c r="AS42" i="14" s="1"/>
  <c r="AP30" i="14"/>
  <c r="AR30" i="14" s="1"/>
  <c r="AS30" i="14" s="1"/>
  <c r="AO30" i="14"/>
  <c r="AW30" i="14" s="1"/>
  <c r="AY30" i="14" s="1"/>
  <c r="AO24" i="14"/>
  <c r="AW24" i="14" s="1"/>
  <c r="AY24" i="14" s="1"/>
  <c r="AP24" i="14"/>
  <c r="AR24" i="14" s="1"/>
  <c r="AS24" i="14" s="1"/>
  <c r="AP12" i="14"/>
  <c r="AR12" i="14" s="1"/>
  <c r="AS12" i="14" s="1"/>
  <c r="AO12" i="14"/>
  <c r="AW12" i="14" s="1"/>
  <c r="AY12" i="14" s="1"/>
  <c r="AP41" i="14"/>
  <c r="AR41" i="14" s="1"/>
  <c r="AS41" i="14" s="1"/>
  <c r="AO41" i="14"/>
  <c r="AW41" i="14" s="1"/>
  <c r="AY41" i="14" s="1"/>
  <c r="AP54" i="14"/>
  <c r="AR54" i="14" s="1"/>
  <c r="AS54" i="14" s="1"/>
  <c r="AO54" i="14"/>
  <c r="AW54" i="14" s="1"/>
  <c r="AY54" i="14" s="1"/>
  <c r="AP53" i="14"/>
  <c r="AR53" i="14" s="1"/>
  <c r="AS53" i="14" s="1"/>
  <c r="AO53" i="14"/>
  <c r="AW53" i="14" s="1"/>
  <c r="AY53" i="14" s="1"/>
  <c r="W76" i="12"/>
  <c r="AP36" i="14"/>
  <c r="AR36" i="14" s="1"/>
  <c r="AS36" i="14" s="1"/>
  <c r="AO36" i="14"/>
  <c r="AW36" i="14" s="1"/>
  <c r="AY36" i="14" s="1"/>
  <c r="K79" i="6"/>
  <c r="L5" i="6"/>
  <c r="L79" i="6" s="1"/>
  <c r="L82" i="6" s="1"/>
  <c r="AP72" i="14"/>
  <c r="AR72" i="14" s="1"/>
  <c r="AS72" i="14" s="1"/>
  <c r="AO72" i="14"/>
  <c r="AW72" i="14" s="1"/>
  <c r="AY72" i="14" s="1"/>
  <c r="AO61" i="14"/>
  <c r="AW61" i="14" s="1"/>
  <c r="AY61" i="14" s="1"/>
  <c r="AP61" i="14"/>
  <c r="AR61" i="14" s="1"/>
  <c r="AS61" i="14" s="1"/>
  <c r="AP31" i="14"/>
  <c r="AR31" i="14" s="1"/>
  <c r="AS31" i="14" s="1"/>
  <c r="AO31" i="14"/>
  <c r="AW31" i="14" s="1"/>
  <c r="AY31" i="14" s="1"/>
  <c r="AO9" i="14"/>
  <c r="AW9" i="14" s="1"/>
  <c r="AY9" i="14" s="1"/>
  <c r="AP9" i="14"/>
  <c r="AR9" i="14" s="1"/>
  <c r="AS9" i="14" s="1"/>
  <c r="AO70" i="14"/>
  <c r="AW70" i="14" s="1"/>
  <c r="AY70" i="14" s="1"/>
  <c r="AP70" i="14"/>
  <c r="AR70" i="14" s="1"/>
  <c r="AS70" i="14" s="1"/>
  <c r="AO50" i="14"/>
  <c r="AW50" i="14" s="1"/>
  <c r="AY50" i="14" s="1"/>
  <c r="AP50" i="14"/>
  <c r="AR50" i="14" s="1"/>
  <c r="AS50" i="14" s="1"/>
  <c r="AP18" i="14"/>
  <c r="AR18" i="14" s="1"/>
  <c r="AS18" i="14" s="1"/>
  <c r="AO18" i="14"/>
  <c r="AW18" i="14" s="1"/>
  <c r="AY18" i="14" s="1"/>
  <c r="AX76" i="14"/>
  <c r="AZ75" i="14"/>
  <c r="BA75" i="14" s="1"/>
  <c r="BC75" i="14" s="1"/>
  <c r="BG75" i="14" s="1"/>
  <c r="AM28" i="9"/>
  <c r="AN28" i="9"/>
  <c r="AP28" i="9" s="1"/>
  <c r="AQ28" i="9" s="1"/>
  <c r="AQ76" i="9" s="1"/>
  <c r="AO69" i="14"/>
  <c r="AW69" i="14" s="1"/>
  <c r="AY69" i="14" s="1"/>
  <c r="AP69" i="14"/>
  <c r="AR69" i="14" s="1"/>
  <c r="AS69" i="14" s="1"/>
  <c r="AP68" i="14"/>
  <c r="AR68" i="14" s="1"/>
  <c r="AS68" i="14" s="1"/>
  <c r="AO68" i="14"/>
  <c r="AW68" i="14" s="1"/>
  <c r="AY68" i="14" s="1"/>
  <c r="AP51" i="14"/>
  <c r="AR51" i="14" s="1"/>
  <c r="AS51" i="14" s="1"/>
  <c r="AO51" i="14"/>
  <c r="AW51" i="14" s="1"/>
  <c r="AY51" i="14" s="1"/>
  <c r="AP14" i="14"/>
  <c r="AR14" i="14" s="1"/>
  <c r="AS14" i="14" s="1"/>
  <c r="AO14" i="14"/>
  <c r="AW14" i="14" s="1"/>
  <c r="AY14" i="14" s="1"/>
  <c r="AP7" i="14"/>
  <c r="AR7" i="14" s="1"/>
  <c r="AS7" i="14" s="1"/>
  <c r="AO7" i="14"/>
  <c r="AW7" i="14" s="1"/>
  <c r="AY7" i="14" s="1"/>
  <c r="AP19" i="14"/>
  <c r="AR19" i="14" s="1"/>
  <c r="AS19" i="14" s="1"/>
  <c r="AO19" i="14"/>
  <c r="AW19" i="14" s="1"/>
  <c r="AY19" i="14" s="1"/>
  <c r="AP8" i="14"/>
  <c r="AR8" i="14" s="1"/>
  <c r="AS8" i="14" s="1"/>
  <c r="AO8" i="14"/>
  <c r="AW8" i="14" s="1"/>
  <c r="AY8" i="14" s="1"/>
  <c r="AP32" i="14"/>
  <c r="AR32" i="14" s="1"/>
  <c r="AS32" i="14" s="1"/>
  <c r="AO32" i="14"/>
  <c r="AW32" i="14" s="1"/>
  <c r="AY32" i="14" s="1"/>
  <c r="AP43" i="14"/>
  <c r="AR43" i="14" s="1"/>
  <c r="AS43" i="14" s="1"/>
  <c r="AO43" i="14"/>
  <c r="AW43" i="14" s="1"/>
  <c r="AY43" i="14" s="1"/>
  <c r="U76" i="12"/>
  <c r="V76" i="12"/>
  <c r="AH76" i="12"/>
  <c r="AH80" i="12" s="1"/>
  <c r="AI4" i="12"/>
  <c r="AP35" i="14"/>
  <c r="AR35" i="14" s="1"/>
  <c r="AS35" i="14" s="1"/>
  <c r="AO35" i="14"/>
  <c r="AW35" i="14" s="1"/>
  <c r="AY35" i="14" s="1"/>
  <c r="AP26" i="14"/>
  <c r="AR26" i="14" s="1"/>
  <c r="AS26" i="14" s="1"/>
  <c r="AO26" i="14"/>
  <c r="AW26" i="14" s="1"/>
  <c r="AY26" i="14" s="1"/>
  <c r="AO20" i="14"/>
  <c r="AW20" i="14" s="1"/>
  <c r="AY20" i="14" s="1"/>
  <c r="AP20" i="14"/>
  <c r="AR20" i="14" s="1"/>
  <c r="AS20" i="14" s="1"/>
  <c r="AI76" i="9"/>
  <c r="AK4" i="9"/>
  <c r="T76" i="9"/>
  <c r="U4" i="9"/>
  <c r="U76" i="9" s="1"/>
  <c r="AP59" i="14"/>
  <c r="AR59" i="14" s="1"/>
  <c r="AS59" i="14" s="1"/>
  <c r="AO59" i="14"/>
  <c r="AW59" i="14" s="1"/>
  <c r="AY59" i="14" s="1"/>
  <c r="AP38" i="14"/>
  <c r="AR38" i="14" s="1"/>
  <c r="AS38" i="14" s="1"/>
  <c r="AO38" i="14"/>
  <c r="AW38" i="14" s="1"/>
  <c r="AY38" i="14" s="1"/>
  <c r="AO16" i="14"/>
  <c r="AW16" i="14" s="1"/>
  <c r="AY16" i="14" s="1"/>
  <c r="AP16" i="14"/>
  <c r="AR16" i="14" s="1"/>
  <c r="AS16" i="14" s="1"/>
  <c r="AP6" i="14"/>
  <c r="AR6" i="14" s="1"/>
  <c r="AS6" i="14" s="1"/>
  <c r="AO6" i="14"/>
  <c r="AW6" i="14" s="1"/>
  <c r="AY6" i="14" s="1"/>
  <c r="AZ39" i="14"/>
  <c r="BA39" i="14" s="1"/>
  <c r="BC39" i="14" s="1"/>
  <c r="BG39" i="14" s="1"/>
  <c r="AP52" i="14"/>
  <c r="AR52" i="14" s="1"/>
  <c r="AS52" i="14" s="1"/>
  <c r="AO52" i="14"/>
  <c r="AW52" i="14" s="1"/>
  <c r="AY52" i="14" s="1"/>
  <c r="AP40" i="14"/>
  <c r="AR40" i="14" s="1"/>
  <c r="AS40" i="14" s="1"/>
  <c r="AO40" i="14"/>
  <c r="AW40" i="14" s="1"/>
  <c r="AY40" i="14" s="1"/>
  <c r="AO11" i="14"/>
  <c r="AW11" i="14" s="1"/>
  <c r="AY11" i="14" s="1"/>
  <c r="AP11" i="14"/>
  <c r="AR11" i="14" s="1"/>
  <c r="AS11" i="14" s="1"/>
  <c r="AJ76" i="14"/>
  <c r="AK4" i="14"/>
  <c r="AO71" i="14"/>
  <c r="AW71" i="14" s="1"/>
  <c r="AY71" i="14" s="1"/>
  <c r="AP71" i="14"/>
  <c r="AR71" i="14" s="1"/>
  <c r="AS71" i="14" s="1"/>
  <c r="AP48" i="14"/>
  <c r="AR48" i="14" s="1"/>
  <c r="AS48" i="14" s="1"/>
  <c r="AO48" i="14"/>
  <c r="AW48" i="14" s="1"/>
  <c r="AY48" i="14" s="1"/>
  <c r="AP47" i="14"/>
  <c r="AR47" i="14" s="1"/>
  <c r="AS47" i="14" s="1"/>
  <c r="AO47" i="14"/>
  <c r="AW47" i="14" s="1"/>
  <c r="AY47" i="14" s="1"/>
  <c r="AP15" i="14"/>
  <c r="AR15" i="14" s="1"/>
  <c r="AS15" i="14" s="1"/>
  <c r="AO15" i="14"/>
  <c r="AW15" i="14" s="1"/>
  <c r="AY15" i="14" s="1"/>
  <c r="AO49" i="14"/>
  <c r="AW49" i="14" s="1"/>
  <c r="AY49" i="14" s="1"/>
  <c r="AP49" i="14"/>
  <c r="AR49" i="14" s="1"/>
  <c r="AS49" i="14" s="1"/>
  <c r="P76" i="9"/>
  <c r="AO58" i="14"/>
  <c r="AW58" i="14" s="1"/>
  <c r="AY58" i="14" s="1"/>
  <c r="AP58" i="14"/>
  <c r="AR58" i="14" s="1"/>
  <c r="AS58" i="14" s="1"/>
  <c r="AO63" i="14"/>
  <c r="AW63" i="14" s="1"/>
  <c r="AY63" i="14" s="1"/>
  <c r="AP63" i="14"/>
  <c r="AR63" i="14" s="1"/>
  <c r="AS63" i="14" s="1"/>
  <c r="AP22" i="14"/>
  <c r="AR22" i="14" s="1"/>
  <c r="AS22" i="14" s="1"/>
  <c r="AO22" i="14"/>
  <c r="AW22" i="14" s="1"/>
  <c r="AY22" i="14" s="1"/>
  <c r="AO46" i="14"/>
  <c r="AW46" i="14" s="1"/>
  <c r="AY46" i="14" s="1"/>
  <c r="AP46" i="14"/>
  <c r="AR46" i="14" s="1"/>
  <c r="AS46" i="14" s="1"/>
  <c r="AP34" i="14"/>
  <c r="AR34" i="14" s="1"/>
  <c r="AS34" i="14" s="1"/>
  <c r="AO34" i="14"/>
  <c r="AW34" i="14" s="1"/>
  <c r="AY34" i="14" s="1"/>
  <c r="AZ44" i="14"/>
  <c r="BA44" i="14" s="1"/>
  <c r="BC44" i="14" s="1"/>
  <c r="BG44" i="14" s="1"/>
  <c r="AZ66" i="14"/>
  <c r="BA66" i="14" s="1"/>
  <c r="BC66" i="14" s="1"/>
  <c r="BG66" i="14" s="1"/>
  <c r="P76" i="12"/>
  <c r="P76" i="14"/>
  <c r="AP13" i="14"/>
  <c r="AR13" i="14" s="1"/>
  <c r="AS13" i="14" s="1"/>
  <c r="AO13" i="14"/>
  <c r="AW13" i="14" s="1"/>
  <c r="AY13" i="14" s="1"/>
  <c r="AP23" i="14"/>
  <c r="AR23" i="14" s="1"/>
  <c r="AS23" i="14" s="1"/>
  <c r="AO23" i="14"/>
  <c r="AW23" i="14" s="1"/>
  <c r="AY23" i="14" s="1"/>
  <c r="AP57" i="14"/>
  <c r="AR57" i="14" s="1"/>
  <c r="AS57" i="14" s="1"/>
  <c r="AO57" i="14"/>
  <c r="AW57" i="14" s="1"/>
  <c r="AY57" i="14" s="1"/>
  <c r="AP74" i="14"/>
  <c r="AR74" i="14" s="1"/>
  <c r="AS74" i="14" s="1"/>
  <c r="AO74" i="14"/>
  <c r="AW74" i="14" s="1"/>
  <c r="AY74" i="14" s="1"/>
  <c r="V4" i="14" l="1"/>
  <c r="V76" i="14" s="1"/>
  <c r="BD44" i="14"/>
  <c r="BE44" i="14" s="1"/>
  <c r="BD62" i="14"/>
  <c r="BE62" i="14" s="1"/>
  <c r="AZ46" i="14"/>
  <c r="BA46" i="14" s="1"/>
  <c r="BC46" i="14" s="1"/>
  <c r="BG46" i="14" s="1"/>
  <c r="AZ22" i="14"/>
  <c r="BA22" i="14" s="1"/>
  <c r="BC22" i="14" s="1"/>
  <c r="BG22" i="14" s="1"/>
  <c r="AZ63" i="14"/>
  <c r="BD63" i="14"/>
  <c r="BE63" i="14" s="1"/>
  <c r="AZ15" i="14"/>
  <c r="BA15" i="14" s="1"/>
  <c r="BC15" i="14" s="1"/>
  <c r="BG15" i="14" s="1"/>
  <c r="AZ47" i="14"/>
  <c r="BA47" i="14" s="1"/>
  <c r="BC47" i="14" s="1"/>
  <c r="BG47" i="14" s="1"/>
  <c r="BD39" i="14"/>
  <c r="BE39" i="14" s="1"/>
  <c r="AZ38" i="14"/>
  <c r="BA38" i="14" s="1"/>
  <c r="BC38" i="14" s="1"/>
  <c r="BG38" i="14" s="1"/>
  <c r="AK76" i="9"/>
  <c r="AM4" i="9"/>
  <c r="AM76" i="9" s="1"/>
  <c r="AN4" i="9"/>
  <c r="AZ26" i="14"/>
  <c r="BA26" i="14" s="1"/>
  <c r="BC26" i="14" s="1"/>
  <c r="BG26" i="14" s="1"/>
  <c r="AZ8" i="14"/>
  <c r="BA8" i="14" s="1"/>
  <c r="BC8" i="14" s="1"/>
  <c r="BG8" i="14" s="1"/>
  <c r="AZ14" i="14"/>
  <c r="BA14" i="14" s="1"/>
  <c r="BC14" i="14" s="1"/>
  <c r="BG14" i="14" s="1"/>
  <c r="AZ69" i="14"/>
  <c r="BA69" i="14" s="1"/>
  <c r="BC69" i="14" s="1"/>
  <c r="BG69" i="14" s="1"/>
  <c r="AZ18" i="14"/>
  <c r="BA18" i="14" s="1"/>
  <c r="BC18" i="14" s="1"/>
  <c r="BG18" i="14" s="1"/>
  <c r="AZ54" i="14"/>
  <c r="BA54" i="14" s="1"/>
  <c r="BC54" i="14" s="1"/>
  <c r="BG54" i="14" s="1"/>
  <c r="AZ12" i="14"/>
  <c r="BA12" i="14" s="1"/>
  <c r="BC12" i="14" s="1"/>
  <c r="BG12" i="14" s="1"/>
  <c r="AZ30" i="14"/>
  <c r="BA30" i="14" s="1"/>
  <c r="BC30" i="14" s="1"/>
  <c r="BG30" i="14" s="1"/>
  <c r="AZ29" i="14"/>
  <c r="BA29" i="14" s="1"/>
  <c r="BC29" i="14" s="1"/>
  <c r="BG29" i="14" s="1"/>
  <c r="BD67" i="14"/>
  <c r="BE67" i="14" s="1"/>
  <c r="AZ64" i="14"/>
  <c r="BA64" i="14" s="1"/>
  <c r="BC64" i="14" s="1"/>
  <c r="BG64" i="14" s="1"/>
  <c r="AZ57" i="14"/>
  <c r="BA57" i="14" s="1"/>
  <c r="BC57" i="14" s="1"/>
  <c r="BG57" i="14" s="1"/>
  <c r="AZ34" i="14"/>
  <c r="BA34" i="14" s="1"/>
  <c r="BC34" i="14" s="1"/>
  <c r="BG34" i="14" s="1"/>
  <c r="AZ58" i="14"/>
  <c r="BD58" i="14"/>
  <c r="BE58" i="14" s="1"/>
  <c r="AZ71" i="14"/>
  <c r="BA71" i="14" s="1"/>
  <c r="BC71" i="14" s="1"/>
  <c r="BG71" i="14" s="1"/>
  <c r="AZ11" i="14"/>
  <c r="BA11" i="14" s="1"/>
  <c r="BC11" i="14" s="1"/>
  <c r="BG11" i="14" s="1"/>
  <c r="AZ40" i="14"/>
  <c r="BA40" i="14" s="1"/>
  <c r="BC40" i="14" s="1"/>
  <c r="BG40" i="14" s="1"/>
  <c r="AZ68" i="14"/>
  <c r="BA68" i="14" s="1"/>
  <c r="BC68" i="14" s="1"/>
  <c r="BG68" i="14" s="1"/>
  <c r="AZ50" i="14"/>
  <c r="BA50" i="14" s="1"/>
  <c r="BC50" i="14" s="1"/>
  <c r="BG50" i="14" s="1"/>
  <c r="AZ31" i="14"/>
  <c r="BA31" i="14" s="1"/>
  <c r="BC31" i="14" s="1"/>
  <c r="BG31" i="14" s="1"/>
  <c r="AZ61" i="14"/>
  <c r="BA61" i="14" s="1"/>
  <c r="BC61" i="14" s="1"/>
  <c r="BG61" i="14" s="1"/>
  <c r="X4" i="12"/>
  <c r="AZ28" i="14"/>
  <c r="BA28" i="14" s="1"/>
  <c r="BC28" i="14" s="1"/>
  <c r="BG28" i="14" s="1"/>
  <c r="AZ60" i="14"/>
  <c r="BA60" i="14" s="1"/>
  <c r="BC60" i="14" s="1"/>
  <c r="BG60" i="14" s="1"/>
  <c r="AZ10" i="14"/>
  <c r="BA10" i="14" s="1"/>
  <c r="BC10" i="14" s="1"/>
  <c r="BG10" i="14" s="1"/>
  <c r="AZ33" i="14"/>
  <c r="BA33" i="14" s="1"/>
  <c r="BC33" i="14" s="1"/>
  <c r="BG33" i="14" s="1"/>
  <c r="BD66" i="14"/>
  <c r="BE66" i="14" s="1"/>
  <c r="AZ48" i="14"/>
  <c r="BA48" i="14" s="1"/>
  <c r="BC48" i="14" s="1"/>
  <c r="BG48" i="14" s="1"/>
  <c r="AK76" i="14"/>
  <c r="AM4" i="14"/>
  <c r="BD5" i="14"/>
  <c r="BE5" i="14" s="1"/>
  <c r="AZ6" i="14"/>
  <c r="BA6" i="14" s="1"/>
  <c r="BC6" i="14" s="1"/>
  <c r="BG6" i="14" s="1"/>
  <c r="AZ16" i="14"/>
  <c r="BA16" i="14" s="1"/>
  <c r="BC16" i="14" s="1"/>
  <c r="BG16" i="14" s="1"/>
  <c r="V4" i="9"/>
  <c r="AI76" i="12"/>
  <c r="AK4" i="12"/>
  <c r="AZ43" i="14"/>
  <c r="BA43" i="14" s="1"/>
  <c r="BC43" i="14" s="1"/>
  <c r="BG43" i="14" s="1"/>
  <c r="AZ32" i="14"/>
  <c r="BA32" i="14" s="1"/>
  <c r="BC32" i="14" s="1"/>
  <c r="BG32" i="14" s="1"/>
  <c r="AZ19" i="14"/>
  <c r="BA19" i="14" s="1"/>
  <c r="BC19" i="14" s="1"/>
  <c r="BG19" i="14" s="1"/>
  <c r="AZ7" i="14"/>
  <c r="BA7" i="14" s="1"/>
  <c r="BC7" i="14" s="1"/>
  <c r="BG7" i="14" s="1"/>
  <c r="AZ72" i="14"/>
  <c r="BA72" i="14" s="1"/>
  <c r="BC72" i="14" s="1"/>
  <c r="BG72" i="14" s="1"/>
  <c r="T78" i="12"/>
  <c r="T83" i="12" s="1"/>
  <c r="T84" i="12" s="1"/>
  <c r="W79" i="12"/>
  <c r="AZ41" i="14"/>
  <c r="BA41" i="14" s="1"/>
  <c r="BC41" i="14" s="1"/>
  <c r="BG41" i="14" s="1"/>
  <c r="AZ27" i="14"/>
  <c r="BA27" i="14" s="1"/>
  <c r="BC27" i="14" s="1"/>
  <c r="BG27" i="14" s="1"/>
  <c r="AZ55" i="14"/>
  <c r="BD55" i="14"/>
  <c r="BE55" i="14" s="1"/>
  <c r="AZ56" i="14"/>
  <c r="BA56" i="14" s="1"/>
  <c r="BC56" i="14" s="1"/>
  <c r="BG56" i="14" s="1"/>
  <c r="AZ25" i="14"/>
  <c r="BA25" i="14" s="1"/>
  <c r="BC25" i="14" s="1"/>
  <c r="BG25" i="14" s="1"/>
  <c r="BD45" i="14"/>
  <c r="BE45" i="14" s="1"/>
  <c r="AZ45" i="14"/>
  <c r="AZ37" i="14"/>
  <c r="BA37" i="14" s="1"/>
  <c r="BC37" i="14" s="1"/>
  <c r="BG37" i="14" s="1"/>
  <c r="AZ74" i="14"/>
  <c r="BA74" i="14" s="1"/>
  <c r="BC74" i="14" s="1"/>
  <c r="BG74" i="14" s="1"/>
  <c r="AZ23" i="14"/>
  <c r="BA23" i="14" s="1"/>
  <c r="BC23" i="14" s="1"/>
  <c r="BG23" i="14" s="1"/>
  <c r="AZ13" i="14"/>
  <c r="BA13" i="14" s="1"/>
  <c r="BC13" i="14" s="1"/>
  <c r="BG13" i="14" s="1"/>
  <c r="AZ49" i="14"/>
  <c r="BA49" i="14" s="1"/>
  <c r="BC49" i="14" s="1"/>
  <c r="BG49" i="14" s="1"/>
  <c r="AZ52" i="14"/>
  <c r="BA52" i="14" s="1"/>
  <c r="BC52" i="14" s="1"/>
  <c r="BG52" i="14" s="1"/>
  <c r="AZ59" i="14"/>
  <c r="BA59" i="14" s="1"/>
  <c r="BC59" i="14" s="1"/>
  <c r="BG59" i="14" s="1"/>
  <c r="AZ20" i="14"/>
  <c r="BA20" i="14" s="1"/>
  <c r="BC20" i="14" s="1"/>
  <c r="BG20" i="14" s="1"/>
  <c r="AZ35" i="14"/>
  <c r="BA35" i="14" s="1"/>
  <c r="BC35" i="14" s="1"/>
  <c r="BG35" i="14" s="1"/>
  <c r="AZ51" i="14"/>
  <c r="BA51" i="14" s="1"/>
  <c r="BC51" i="14" s="1"/>
  <c r="BG51" i="14" s="1"/>
  <c r="BD75" i="14"/>
  <c r="BE75" i="14" s="1"/>
  <c r="AZ70" i="14"/>
  <c r="BA70" i="14" s="1"/>
  <c r="BC70" i="14" s="1"/>
  <c r="BG70" i="14" s="1"/>
  <c r="AZ9" i="14"/>
  <c r="BA9" i="14" s="1"/>
  <c r="BC9" i="14" s="1"/>
  <c r="BG9" i="14" s="1"/>
  <c r="AZ36" i="14"/>
  <c r="BA36" i="14" s="1"/>
  <c r="BC36" i="14" s="1"/>
  <c r="BG36" i="14" s="1"/>
  <c r="AZ53" i="14"/>
  <c r="BA53" i="14" s="1"/>
  <c r="BC53" i="14" s="1"/>
  <c r="BG53" i="14" s="1"/>
  <c r="AZ24" i="14"/>
  <c r="BA24" i="14" s="1"/>
  <c r="BC24" i="14" s="1"/>
  <c r="BG24" i="14" s="1"/>
  <c r="AZ42" i="14"/>
  <c r="BA42" i="14" s="1"/>
  <c r="BC42" i="14" s="1"/>
  <c r="BG42" i="14" s="1"/>
  <c r="AZ17" i="14"/>
  <c r="BA17" i="14" s="1"/>
  <c r="BC17" i="14" s="1"/>
  <c r="BG17" i="14" s="1"/>
  <c r="AZ73" i="14"/>
  <c r="BA73" i="14" s="1"/>
  <c r="BC73" i="14" s="1"/>
  <c r="BG73" i="14" s="1"/>
  <c r="AZ21" i="14"/>
  <c r="BA21" i="14" s="1"/>
  <c r="BC21" i="14" s="1"/>
  <c r="BG21" i="14" s="1"/>
  <c r="U5" i="7"/>
  <c r="L77" i="7"/>
  <c r="AZ65" i="14"/>
  <c r="BA65" i="14" s="1"/>
  <c r="BC65" i="14" s="1"/>
  <c r="BG65" i="14" s="1"/>
  <c r="W4" i="14" l="1"/>
  <c r="W76" i="14" s="1"/>
  <c r="BD11" i="14"/>
  <c r="BE11" i="14" s="1"/>
  <c r="BD19" i="14"/>
  <c r="BE19" i="14" s="1"/>
  <c r="BD48" i="14"/>
  <c r="BE48" i="14" s="1"/>
  <c r="BD64" i="14"/>
  <c r="BE64" i="14" s="1"/>
  <c r="BD21" i="14"/>
  <c r="BE21" i="14" s="1"/>
  <c r="BD68" i="14"/>
  <c r="BE68" i="14" s="1"/>
  <c r="BD37" i="14"/>
  <c r="BE37" i="14" s="1"/>
  <c r="BD25" i="14"/>
  <c r="BE25" i="14" s="1"/>
  <c r="BD24" i="14"/>
  <c r="BE24" i="14" s="1"/>
  <c r="BD16" i="14"/>
  <c r="BE16" i="14" s="1"/>
  <c r="BD60" i="14"/>
  <c r="BE60" i="14" s="1"/>
  <c r="BD61" i="14"/>
  <c r="BE61" i="14" s="1"/>
  <c r="BD8" i="14"/>
  <c r="BE8" i="14" s="1"/>
  <c r="BD15" i="14"/>
  <c r="BE15" i="14" s="1"/>
  <c r="BD17" i="14"/>
  <c r="BE17" i="14" s="1"/>
  <c r="BD70" i="14"/>
  <c r="BE70" i="14" s="1"/>
  <c r="BD35" i="14"/>
  <c r="BE35" i="14" s="1"/>
  <c r="BD31" i="14"/>
  <c r="BE31" i="14" s="1"/>
  <c r="BD71" i="14"/>
  <c r="BE71" i="14" s="1"/>
  <c r="BD34" i="14"/>
  <c r="BE34" i="14" s="1"/>
  <c r="BD69" i="14"/>
  <c r="BE69" i="14" s="1"/>
  <c r="BD38" i="14"/>
  <c r="BE38" i="14" s="1"/>
  <c r="BD51" i="14"/>
  <c r="BE51" i="14" s="1"/>
  <c r="BD20" i="14"/>
  <c r="BE20" i="14" s="1"/>
  <c r="BD52" i="14"/>
  <c r="BE52" i="14" s="1"/>
  <c r="BD13" i="14"/>
  <c r="BE13" i="14" s="1"/>
  <c r="BD74" i="14"/>
  <c r="BE74" i="14" s="1"/>
  <c r="BD56" i="14"/>
  <c r="BE56" i="14" s="1"/>
  <c r="BD27" i="14"/>
  <c r="BE27" i="14" s="1"/>
  <c r="BD43" i="14"/>
  <c r="BE43" i="14" s="1"/>
  <c r="V76" i="9"/>
  <c r="W4" i="9"/>
  <c r="BD50" i="14"/>
  <c r="BE50" i="14" s="1"/>
  <c r="BD40" i="14"/>
  <c r="BE40" i="14" s="1"/>
  <c r="BD30" i="14"/>
  <c r="BE30" i="14" s="1"/>
  <c r="AN76" i="9"/>
  <c r="AP4" i="9"/>
  <c r="AP76" i="9" s="1"/>
  <c r="BD47" i="14"/>
  <c r="BE47" i="14" s="1"/>
  <c r="BD46" i="14"/>
  <c r="BE46" i="14" s="1"/>
  <c r="BD65" i="14"/>
  <c r="BE65" i="14" s="1"/>
  <c r="AK76" i="12"/>
  <c r="AN4" i="12"/>
  <c r="AM4" i="12"/>
  <c r="AM76" i="12" s="1"/>
  <c r="AM76" i="14"/>
  <c r="AN80" i="14" s="1"/>
  <c r="AO4" i="14"/>
  <c r="AP4" i="14"/>
  <c r="BD10" i="14"/>
  <c r="BE10" i="14" s="1"/>
  <c r="BD28" i="14"/>
  <c r="BE28" i="14" s="1"/>
  <c r="BD54" i="14"/>
  <c r="BE54" i="14" s="1"/>
  <c r="BD36" i="14"/>
  <c r="BE36" i="14" s="1"/>
  <c r="BD73" i="14"/>
  <c r="BE73" i="14" s="1"/>
  <c r="BD42" i="14"/>
  <c r="BE42" i="14" s="1"/>
  <c r="BD53" i="14"/>
  <c r="BE53" i="14" s="1"/>
  <c r="BD9" i="14"/>
  <c r="BE9" i="14" s="1"/>
  <c r="BD59" i="14"/>
  <c r="BE59" i="14" s="1"/>
  <c r="BD49" i="14"/>
  <c r="BE49" i="14" s="1"/>
  <c r="BD23" i="14"/>
  <c r="BE23" i="14" s="1"/>
  <c r="BD41" i="14"/>
  <c r="BE41" i="14" s="1"/>
  <c r="BD72" i="14"/>
  <c r="BE72" i="14" s="1"/>
  <c r="BD7" i="14"/>
  <c r="BE7" i="14" s="1"/>
  <c r="BD32" i="14"/>
  <c r="BE32" i="14" s="1"/>
  <c r="BD6" i="14"/>
  <c r="BE6" i="14" s="1"/>
  <c r="BD33" i="14"/>
  <c r="BE33" i="14" s="1"/>
  <c r="X76" i="12"/>
  <c r="Z4" i="12"/>
  <c r="BD57" i="14"/>
  <c r="BE57" i="14" s="1"/>
  <c r="BD29" i="14"/>
  <c r="BE29" i="14" s="1"/>
  <c r="BD12" i="14"/>
  <c r="BE12" i="14" s="1"/>
  <c r="BD18" i="14"/>
  <c r="BE18" i="14" s="1"/>
  <c r="BD14" i="14"/>
  <c r="BE14" i="14" s="1"/>
  <c r="BD26" i="14"/>
  <c r="BE26" i="14" s="1"/>
  <c r="BD22" i="14"/>
  <c r="BE22" i="14" s="1"/>
  <c r="X4" i="14" l="1"/>
  <c r="X76" i="14" s="1"/>
  <c r="AP76" i="14"/>
  <c r="AR4" i="14"/>
  <c r="AN76" i="12"/>
  <c r="AP4" i="12"/>
  <c r="AO76" i="14"/>
  <c r="AW4" i="14"/>
  <c r="W76" i="9"/>
  <c r="X4" i="9"/>
  <c r="Z4" i="14" l="1"/>
  <c r="X76" i="9"/>
  <c r="Z4" i="9"/>
  <c r="AP76" i="12"/>
  <c r="AQ4" i="12"/>
  <c r="AQ76" i="12" s="1"/>
  <c r="W79" i="9"/>
  <c r="T78" i="9"/>
  <c r="T83" i="9" s="1"/>
  <c r="T84" i="9" s="1"/>
  <c r="AW76" i="14"/>
  <c r="AY4" i="14"/>
  <c r="AR76" i="14"/>
  <c r="AS4" i="14"/>
  <c r="AS76" i="14" s="1"/>
  <c r="AY76" i="14" l="1"/>
  <c r="AZ4" i="14"/>
  <c r="AW78" i="14"/>
  <c r="AZ76" i="14" l="1"/>
  <c r="BA4" i="14"/>
  <c r="BA76" i="14" l="1"/>
  <c r="BC4" i="14"/>
  <c r="BC76" i="14" l="1"/>
  <c r="BG4" i="14"/>
  <c r="BG76" i="14" s="1"/>
  <c r="BD4" i="14"/>
  <c r="BD76" i="14" l="1"/>
  <c r="BG78" i="14" s="1"/>
  <c r="BE4" i="14"/>
  <c r="BE76" i="14" s="1"/>
  <c r="BA81" i="14"/>
  <c r="AY82" i="14"/>
  <c r="AY83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Базанова Светлана Александровна</author>
  </authors>
  <commentList>
    <comment ref="H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согласны</t>
        </r>
      </text>
    </comment>
    <comment ref="H14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согласны</t>
        </r>
      </text>
    </comment>
    <comment ref="H17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согласны</t>
        </r>
      </text>
    </comment>
    <comment ref="H18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нужно 13
</t>
        </r>
      </text>
    </comment>
    <comment ref="H21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нужно 26
</t>
        </r>
      </text>
    </comment>
    <comment ref="H25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нужно 11</t>
        </r>
      </text>
    </comment>
    <comment ref="H26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нужно 14
</t>
        </r>
      </text>
    </comment>
    <comment ref="H28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нужно 11
</t>
        </r>
      </text>
    </comment>
    <comment ref="H29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нужно 9</t>
        </r>
      </text>
    </comment>
    <comment ref="H31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согласны</t>
        </r>
      </text>
    </comment>
    <comment ref="H37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согласны</t>
        </r>
      </text>
    </comment>
    <comment ref="H44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нужно 29
</t>
        </r>
      </text>
    </comment>
    <comment ref="H45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согласны</t>
        </r>
      </text>
    </comment>
    <comment ref="H46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нужно 14
</t>
        </r>
      </text>
    </comment>
    <comment ref="H47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согласны</t>
        </r>
      </text>
    </comment>
    <comment ref="H53" authorId="0" shapeId="0" xr:uid="{00000000-0006-0000-0100-000010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согласны</t>
        </r>
      </text>
    </comment>
    <comment ref="H59" authorId="0" shapeId="0" xr:uid="{00000000-0006-0000-0100-000011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нужно 15</t>
        </r>
      </text>
    </comment>
    <comment ref="H62" authorId="0" shapeId="0" xr:uid="{00000000-0006-0000-0100-000012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нужно 7</t>
        </r>
      </text>
    </comment>
    <comment ref="H71" authorId="0" shapeId="0" xr:uid="{00000000-0006-0000-0100-000013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согласны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пк</author>
  </authors>
  <commentList>
    <comment ref="E27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было 2, звонили МН исправила на 5</t>
        </r>
      </text>
    </comment>
    <comment ref="B4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была передвижка -262+212 1000р</t>
        </r>
      </text>
    </comment>
    <comment ref="B47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1000р
</t>
        </r>
      </text>
    </comment>
    <comment ref="B57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4500р</t>
        </r>
      </text>
    </comment>
    <comment ref="B58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+600р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пк</author>
  </authors>
  <commentList>
    <comment ref="E27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было 2, звонили МН исправила на 5</t>
        </r>
      </text>
    </comment>
    <comment ref="B45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была передвижка -262+212 1000р</t>
        </r>
      </text>
    </comment>
    <comment ref="B47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1000р
</t>
        </r>
      </text>
    </comment>
    <comment ref="B58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4500р</t>
        </r>
      </text>
    </comment>
    <comment ref="B59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+600р</t>
        </r>
      </text>
    </comment>
    <comment ref="G73" authorId="0" shapeId="0" xr:uid="{00000000-0006-0000-0300-000006000000}">
      <text>
        <r>
          <rPr>
            <b/>
            <sz val="9"/>
            <color indexed="81"/>
            <rFont val="Tahoma"/>
            <family val="2"/>
            <charset val="204"/>
          </rPr>
          <t>очень нужно 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пк</author>
  </authors>
  <commentList>
    <comment ref="G27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было 2, звонили МН исправила на 5</t>
        </r>
      </text>
    </comment>
    <comment ref="M38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10 ЧЕЛ ПОЛУЧАЛИ В 13 ГОДУ ПОСЛ РАЗ</t>
        </r>
      </text>
    </comment>
    <comment ref="B45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была передвижка -262+212 1000р</t>
        </r>
      </text>
    </comment>
    <comment ref="B47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1000р
</t>
        </r>
      </text>
    </comment>
    <comment ref="B58" authorId="0" shapeId="0" xr:uid="{00000000-0006-0000-0600-000005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4500р</t>
        </r>
      </text>
    </comment>
    <comment ref="B59" authorId="0" shapeId="0" xr:uid="{00000000-0006-0000-0600-000006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+600р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пк</author>
  </authors>
  <commentList>
    <comment ref="G27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было 2, звонили МН исправила на 5</t>
        </r>
      </text>
    </comment>
    <comment ref="M38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10 ЧЕЛ ПОЛУЧАЛИ В 13 ГОДУ ПОСЛ РАЗ</t>
        </r>
      </text>
    </comment>
    <comment ref="B45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была передвижка -262+212 1000р</t>
        </r>
      </text>
    </comment>
    <comment ref="B47" authorId="0" shapeId="0" xr:uid="{00000000-0006-0000-0700-000004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1000р
</t>
        </r>
      </text>
    </comment>
    <comment ref="B58" authorId="0" shapeId="0" xr:uid="{00000000-0006-0000-0700-000005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4500р</t>
        </r>
      </text>
    </comment>
    <comment ref="B59" authorId="0" shapeId="0" xr:uid="{00000000-0006-0000-0700-000006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+600р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пк</author>
  </authors>
  <commentList>
    <comment ref="G27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было 2, звонили МН исправила на 5</t>
        </r>
      </text>
    </comment>
    <comment ref="M38" authorId="0" shapeId="0" xr:uid="{00000000-0006-0000-0A00-000002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10 ЧЕЛ ПОЛУЧАЛИ В 13 ГОДУ ПОСЛ РАЗ</t>
        </r>
      </text>
    </comment>
    <comment ref="B45" authorId="0" shapeId="0" xr:uid="{00000000-0006-0000-0A00-000003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была передвижка -262+212 1000р</t>
        </r>
      </text>
    </comment>
    <comment ref="B47" authorId="0" shapeId="0" xr:uid="{00000000-0006-0000-0A00-000004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1000р
</t>
        </r>
      </text>
    </comment>
    <comment ref="B58" authorId="0" shapeId="0" xr:uid="{00000000-0006-0000-0A00-000005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4500р</t>
        </r>
      </text>
    </comment>
    <comment ref="B59" authorId="0" shapeId="0" xr:uid="{00000000-0006-0000-0A00-000006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-262+212 +600р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Базанова Светлана Александровна</author>
  </authors>
  <commentList>
    <comment ref="G19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прописка Всеволожск</t>
        </r>
      </text>
    </comment>
    <comment ref="Q26" authorId="0" shapeId="0" xr:uid="{00000000-0006-0000-0E00-000002000000}">
      <text>
        <r>
          <rPr>
            <b/>
            <sz val="9"/>
            <color indexed="81"/>
            <rFont val="Tahoma"/>
            <family val="2"/>
            <charset val="204"/>
          </rPr>
          <t>Базанова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не взяли молодых
</t>
        </r>
      </text>
    </comment>
  </commentList>
</comments>
</file>

<file path=xl/sharedStrings.xml><?xml version="1.0" encoding="utf-8"?>
<sst xmlns="http://schemas.openxmlformats.org/spreadsheetml/2006/main" count="1647" uniqueCount="345">
  <si>
    <t>ГБОУ школа № 332 Невского района Санкт-Петербурга</t>
  </si>
  <si>
    <t>ГБОУ школа № 333 Невского района Санкт-Петербурга</t>
  </si>
  <si>
    <t>ГБОУ школа №334 Невского района Санкт-Петербурга</t>
  </si>
  <si>
    <t>ГБОУ школа № 336 Невского района Санкт-Петербурга</t>
  </si>
  <si>
    <t>ГБОУ школа № 337 Невского района Санкт-Петербурга</t>
  </si>
  <si>
    <t>ГБОУ СОШ № 323 Невского района Санкт-Петербурга</t>
  </si>
  <si>
    <t>ГБОУ школа № 20 Невского района Санкт-Петербурга</t>
  </si>
  <si>
    <t>ГБОУ школа №346 Невского района Санкт-Петербурга</t>
  </si>
  <si>
    <t>ГБОУ гимназия № 498 Невского района Санкт-Петербурга</t>
  </si>
  <si>
    <t>ГБОУ СОШ № 13 с углубленным изучением английского языка Невского района Санкт-Петербурга</t>
  </si>
  <si>
    <t>ГБОУ Школа №14 Невского района Санкт-Петербурга</t>
  </si>
  <si>
    <t>ГБОУ школа № 26 с углубленным изучением французского языка Невского района Санкт-Петербурга</t>
  </si>
  <si>
    <t>ГБОУ школа № 327 Невского района Санкт-Петербурга</t>
  </si>
  <si>
    <t>ГБОУ школа №328 с углубленным изучением английского языка Невского района Санкт-Петербурга</t>
  </si>
  <si>
    <t>ГБОУ лицей № 329 Невского района Санкт-Петербурга</t>
  </si>
  <si>
    <t>ГБОУ школа № 338 Невского района Санкт-Петербурга</t>
  </si>
  <si>
    <t>ГБОУ средняя школа № 339 Невского района Санкт-Петербурга</t>
  </si>
  <si>
    <t>ГБОУ школа №340 Невского района Санкт-Петербурга</t>
  </si>
  <si>
    <t>ГБОУ школа № 341 Невского района Санкт-Петербурга</t>
  </si>
  <si>
    <t>ГБОУ школа № 342 Невского района Санкт-Петербурга</t>
  </si>
  <si>
    <t>ГБОУ школа № 345 Невского района Санкт-Петербурга</t>
  </si>
  <si>
    <t>ГБОУ СОШ №347 с углубленным изучением английского языка Невского района Санкт-Петербурга</t>
  </si>
  <si>
    <t>ГБОУ СОШ № 348 Невского района Санкт-Петербурга</t>
  </si>
  <si>
    <t>ГБОУ школа № 350 Невского района Санкт-Петербурга</t>
  </si>
  <si>
    <t>ГБОУ школа №39 Невского района Санкт-Петербурга</t>
  </si>
  <si>
    <t>ГБОУ СОШ № 458 с углубленным изучением немецкого языка Невского района Санкт-Петербурга</t>
  </si>
  <si>
    <t>ГБОУ школа № 497 Невского района Санкт-Петербурга</t>
  </si>
  <si>
    <t>ГБОУ СОШ №512 Невского района Санкт-Петербурга</t>
  </si>
  <si>
    <t>ГБОУ гимназия №513 Невского района Санкт-Петербурга</t>
  </si>
  <si>
    <t>ГБОУ СОШ № 516 Невского района Санкт-Петербурга</t>
  </si>
  <si>
    <t>ГБОУ школа № 527 Невского района Санкт-Петербурга</t>
  </si>
  <si>
    <t>ГБОУ школа №569 Невского района Санкт-Петербурга</t>
  </si>
  <si>
    <t>ГБОУ школа №570 Невского района Санкт-Петербурга</t>
  </si>
  <si>
    <t>ГБОУ школа №571 с углубленным изучением английского языка Невского района Санкт-Петербурга</t>
  </si>
  <si>
    <t>ГБОУ лицей № 572 Невского района Санкт-Петербурга</t>
  </si>
  <si>
    <t>ГБОУ школа № 592 Невского района Санкт-Петербурга</t>
  </si>
  <si>
    <t>ГБОУ школа №593 с углубленным изучением английского языка Невского района Санкт-Петербурга</t>
  </si>
  <si>
    <t>ГБОУ СОШ № 591 Невского района Санкт-Петербурга</t>
  </si>
  <si>
    <t>ГБОУ гимназия № 528 Невского района Санкт-Петербурга</t>
  </si>
  <si>
    <t>ГБОУ школа № 326 Невского района Санкт-Петербурга</t>
  </si>
  <si>
    <t>ГБОУ школа №574 Невского района Санкт-Петербурга</t>
  </si>
  <si>
    <t>ГБОУ гимназия № 343 Невского района Санкт-Петербурга</t>
  </si>
  <si>
    <t>ГБОУ СОШ № 625 Невского района Санкт-Петербурга</t>
  </si>
  <si>
    <t>ГБОУ Школа № 268 Невского района Санкт-Петербурга</t>
  </si>
  <si>
    <t>ГБОУ школа № 17 Невского района Санкт-Петербурга</t>
  </si>
  <si>
    <t>ГБОУ школа № 23 с углубленным изучением финского языка Невского района Санкт-Петербурга</t>
  </si>
  <si>
    <t>ГБОУ школа № 34 Невского района Санкт-Петербурга</t>
  </si>
  <si>
    <t>ГБОУ гимназия № 330 Невского района Санкт-Петербурга</t>
  </si>
  <si>
    <t>ГБОУ школа №331 Невского района Санкт-Петербурга</t>
  </si>
  <si>
    <t>ГБОУ СОШ № 557 Невского района Санкт-Петербурга</t>
  </si>
  <si>
    <t>ГБОУ школа № 639 с углубленным изучением иностранных языков Невского района Санкт-Петербурга</t>
  </si>
  <si>
    <t>ГБОУ школа № 667 Невского района Санкт-Петербурга</t>
  </si>
  <si>
    <t>ГБОУ школа-интернат № 22 Невского района Санкт-Петербурга</t>
  </si>
  <si>
    <t>ГБУ ДО "Дом детского творчества "Левобережный" Невского района Санкт-Петербурга</t>
  </si>
  <si>
    <t>ГБУ ДО "ПДДТ" Невского района Санкт-Петербурга</t>
  </si>
  <si>
    <t>ГБУДО ДТЦ "Театральная Семья" Невского района Санкт-Петербурга</t>
  </si>
  <si>
    <t>ГБУ "Информационно-методический центр" Невского района Санкт-Петербурга</t>
  </si>
  <si>
    <t>ГБОУ школа-интернат № 31 Невского района Санкт-Петербурга</t>
  </si>
  <si>
    <t>ГБУ ДО ЦППМСП Невского района Санкт-Петербурга</t>
  </si>
  <si>
    <t>ГБОУ школа № 641 с углубленным изучением английского языка Невского района Санкт-Петербурга</t>
  </si>
  <si>
    <t>ГБОУ лицей №344 Невского района Санкт-Петербурга</t>
  </si>
  <si>
    <t>ГБОУ ЦО № 133 Невского района Санкт-Петербурга</t>
  </si>
  <si>
    <t>ГБОУ начальная школа № 689 Невского района Санкт-Петербурга</t>
  </si>
  <si>
    <t>ГБОУ школа № 627 Невского района Санкт-Петербурга</t>
  </si>
  <si>
    <t xml:space="preserve">ГБОУ школа-интернат №18 </t>
  </si>
  <si>
    <t xml:space="preserve">ГБОУ школа-интернат № 22 </t>
  </si>
  <si>
    <t xml:space="preserve">ГБОУ школа-интернат № 31 </t>
  </si>
  <si>
    <t xml:space="preserve">ГБУ ДО ЦППМСП </t>
  </si>
  <si>
    <t xml:space="preserve">ГБОУ ЦО № 133 </t>
  </si>
  <si>
    <t>ИМЦ</t>
  </si>
  <si>
    <t>спорт 3</t>
  </si>
  <si>
    <t>Левый</t>
  </si>
  <si>
    <t>Старт</t>
  </si>
  <si>
    <t>Правый</t>
  </si>
  <si>
    <t>спорт 1</t>
  </si>
  <si>
    <t>спорт 2</t>
  </si>
  <si>
    <t>на 16.02.2018</t>
  </si>
  <si>
    <t>выплаты на 16.02.2018</t>
  </si>
  <si>
    <t>0709 0310040240 612 00 0 "Расходы на реализацию дополнительных мер социальной поддержки работникам государственных учреждений"</t>
  </si>
  <si>
    <t>уменьшение квоты пропорционально</t>
  </si>
  <si>
    <t>на 1 чел</t>
  </si>
  <si>
    <t>кол-во пед и мед раб</t>
  </si>
  <si>
    <t>кол-во чел имеющик право на выплату</t>
  </si>
  <si>
    <t>квота</t>
  </si>
  <si>
    <t>262  кол-во пед и мед на оздоровление согласно квоте</t>
  </si>
  <si>
    <t>согласно
 квоте</t>
  </si>
  <si>
    <t>страховые взносы</t>
  </si>
  <si>
    <t>ВСЕГО согласно квоте</t>
  </si>
  <si>
    <t>% квот от общего количества</t>
  </si>
  <si>
    <t>уменьшенные квоты</t>
  </si>
  <si>
    <t>выплаты</t>
  </si>
  <si>
    <t>ВСЕГО</t>
  </si>
  <si>
    <t>ВСЕГО с округд</t>
  </si>
  <si>
    <t>"Семья"</t>
  </si>
  <si>
    <t>133-веч.</t>
  </si>
  <si>
    <t>ГБОУ школа-интернат № 18 Невского района Санкт-Петербурга</t>
  </si>
  <si>
    <t>18 инт.</t>
  </si>
  <si>
    <t>22 инт.</t>
  </si>
  <si>
    <t>31 инт.</t>
  </si>
  <si>
    <t>ГБУ ДО ЦГПВДиМ "Взлет" Невского района Санкт-Петербурга</t>
  </si>
  <si>
    <t>Взлет</t>
  </si>
  <si>
    <t>ДСШ-1</t>
  </si>
  <si>
    <t>ДСШ-2</t>
  </si>
  <si>
    <t>ДСШ-3</t>
  </si>
  <si>
    <t>Левобережный</t>
  </si>
  <si>
    <t>ПМСц</t>
  </si>
  <si>
    <t>Правобережный</t>
  </si>
  <si>
    <t>ГБУ ДО ЦТТ "Старт+" Невского района Санкт-Петербурга</t>
  </si>
  <si>
    <t>Старт+</t>
  </si>
  <si>
    <t>отдали летом Лизе к бюджету 2018</t>
  </si>
  <si>
    <t>расчет на 2018г. По данным на декабрь. (02.11.2017)</t>
  </si>
  <si>
    <t>учреждение</t>
  </si>
  <si>
    <t>кол-во карточек</t>
  </si>
  <si>
    <t>данные школ на 20 нояб 17</t>
  </si>
  <si>
    <t>Всего</t>
  </si>
  <si>
    <t>с округлением</t>
  </si>
  <si>
    <t>цфксиз</t>
  </si>
  <si>
    <t>24 инт. (стр.)</t>
  </si>
  <si>
    <t>не хватает</t>
  </si>
  <si>
    <t>семья</t>
  </si>
  <si>
    <t>ПФХД 212</t>
  </si>
  <si>
    <t>ПФХД 213</t>
  </si>
  <si>
    <t>проезд молодые 2019</t>
  </si>
  <si>
    <t>кол-во пед и мед раб от ОО</t>
  </si>
  <si>
    <t>квота ОО</t>
  </si>
  <si>
    <t>Разница</t>
  </si>
  <si>
    <t>Квота 2018</t>
  </si>
  <si>
    <r>
      <t xml:space="preserve">кол-во чел имеющик право на выплату в </t>
    </r>
    <r>
      <rPr>
        <b/>
        <sz val="8"/>
        <rFont val="Times New Roman"/>
        <family val="1"/>
        <charset val="204"/>
      </rPr>
      <t>2019</t>
    </r>
  </si>
  <si>
    <r>
      <t xml:space="preserve">кол-во чел имеющик право на выплату от ОО в </t>
    </r>
    <r>
      <rPr>
        <b/>
        <sz val="8"/>
        <rFont val="Times New Roman"/>
        <family val="1"/>
        <charset val="204"/>
      </rPr>
      <t>2018</t>
    </r>
  </si>
  <si>
    <t>КОСГУ</t>
  </si>
  <si>
    <t>212</t>
  </si>
  <si>
    <t>213</t>
  </si>
  <si>
    <t>ПФХД 25.04.18</t>
  </si>
  <si>
    <t>ИТОГО</t>
  </si>
  <si>
    <t>Проезд за март (212)</t>
  </si>
  <si>
    <t>Проезд за март (212)
ЧЕЛ</t>
  </si>
  <si>
    <t>ВСЕГО
потребность</t>
  </si>
  <si>
    <t>Оплата вкл март (212)</t>
  </si>
  <si>
    <t>Сан кур согласно
 квоте</t>
  </si>
  <si>
    <t>Передвижка</t>
  </si>
  <si>
    <t>Эк(-), Доп.потр(+)
(212)</t>
  </si>
  <si>
    <t>Передвижка на "0"</t>
  </si>
  <si>
    <t>Наименование учреждения</t>
  </si>
  <si>
    <t>Количество квот</t>
  </si>
  <si>
    <t>ГБОУ школа № 690 Невского района Санкт-Петербурга</t>
  </si>
  <si>
    <t>ГБОУ Школа № 691 с углубленным изучением иностранных языков Невского района Санкт-Петербурга "Невская школа"</t>
  </si>
  <si>
    <t>Сумма
тыс.руб.</t>
  </si>
  <si>
    <t>ГБУ СШОР по легкой атлетике №1 Невского района Санкт-Петербурга</t>
  </si>
  <si>
    <t>ГБУ СШОР №2 Невского района Санкт-Петербурга</t>
  </si>
  <si>
    <t>ГБУ СШОР по плаванию № 3 "Невская" Невского района Санкт-Петербурга</t>
  </si>
  <si>
    <t>Сумма
руб.</t>
  </si>
  <si>
    <t>РАЗНИЦА КВОТА-ПОТР</t>
  </si>
  <si>
    <t>ВСЕГО
потребность без декабря</t>
  </si>
  <si>
    <t>С ОКРУГЛЕНИЕМ</t>
  </si>
  <si>
    <t>Проезд на 8 месяцев без декабря
ЧЕЛ</t>
  </si>
  <si>
    <t>расчет</t>
  </si>
  <si>
    <t>оплта вкл апрель (212)</t>
  </si>
  <si>
    <t>оплата вкл апр 213</t>
  </si>
  <si>
    <t>Проезд на 8 месяцев с декабрем (без апреля)
ЧЕЛ</t>
  </si>
  <si>
    <t>без самост</t>
  </si>
  <si>
    <t>отправлено жеребц без спорта</t>
  </si>
  <si>
    <t>пфхд 212 (пфхд янв+передв)</t>
  </si>
  <si>
    <t>сан кур (чел*27845)</t>
  </si>
  <si>
    <t>проездв год</t>
  </si>
  <si>
    <t>кол-во выплат в год</t>
  </si>
  <si>
    <t>сумма на проезд в год</t>
  </si>
  <si>
    <t>санкур</t>
  </si>
  <si>
    <t>проезд</t>
  </si>
  <si>
    <t>сад</t>
  </si>
  <si>
    <t>школа</t>
  </si>
  <si>
    <t>спорт</t>
  </si>
  <si>
    <t>пфхд2017</t>
  </si>
  <si>
    <t>пфхд2018</t>
  </si>
  <si>
    <t>лиза дала 35</t>
  </si>
  <si>
    <t>лиза дала34</t>
  </si>
  <si>
    <t>всего</t>
  </si>
  <si>
    <t>Передвижка май</t>
  </si>
  <si>
    <t>кол-во пед и мед раб на 2019</t>
  </si>
  <si>
    <t>санкур на 2019 согласно
 квоте</t>
  </si>
  <si>
    <t>проезд на 2019</t>
  </si>
  <si>
    <t>262(321)</t>
  </si>
  <si>
    <t>212 (112)</t>
  </si>
  <si>
    <t>528+592</t>
  </si>
  <si>
    <t xml:space="preserve">санкур на 2019 </t>
  </si>
  <si>
    <t>0310040240</t>
  </si>
  <si>
    <t/>
  </si>
  <si>
    <t>поруч 212</t>
  </si>
  <si>
    <t>поруч 262</t>
  </si>
  <si>
    <t>потребность
 проезд</t>
  </si>
  <si>
    <t>кол-во карточек в мес</t>
  </si>
  <si>
    <t>остаток 212 
(-) экономия 
(+)  потребность</t>
  </si>
  <si>
    <t>остаток 262
(-) экономия 
(+)  потребность</t>
  </si>
  <si>
    <t>интернат 22</t>
  </si>
  <si>
    <t>интернат 31</t>
  </si>
  <si>
    <t>интернат 18</t>
  </si>
  <si>
    <t>имц</t>
  </si>
  <si>
    <t>левый</t>
  </si>
  <si>
    <t>правый</t>
  </si>
  <si>
    <t>старт</t>
  </si>
  <si>
    <t>ПМС</t>
  </si>
  <si>
    <t>оплата карточек в июле</t>
  </si>
  <si>
    <t>27845 - будет оплата</t>
  </si>
  <si>
    <t>авг-нояб</t>
  </si>
  <si>
    <t xml:space="preserve">Расчет-обоснование по внесению изменений в ПФХД </t>
  </si>
  <si>
    <t>1003 0310040240 612 00 0 «Расходы на реализацию дополнительных мер социальной поддержки работникам государственных учреждений»</t>
  </si>
  <si>
    <t>ГБОУ</t>
  </si>
  <si>
    <t>Тип обеспечения</t>
  </si>
  <si>
    <t>Вид расходов</t>
  </si>
  <si>
    <t>Кол-во работников получающих выплаты</t>
  </si>
  <si>
    <t>Выплаты на 1 работника
262- выплаты на отдых и оздоровление
212 - оплата компенсации за проезд</t>
  </si>
  <si>
    <t>Потребность в расходах на 2018 год</t>
  </si>
  <si>
    <t>Предусмотрено в ПФХД на 2018г</t>
  </si>
  <si>
    <t xml:space="preserve"> (-) экономия
(+) доп.потребность
 2018г</t>
  </si>
  <si>
    <t xml:space="preserve">         (-) экономия
(+) доп.потребность
 2019г</t>
  </si>
  <si>
    <t xml:space="preserve">         (-) экономия
(+) доп.потребность
 2020г</t>
  </si>
  <si>
    <t>Подлежит перераспределению</t>
  </si>
  <si>
    <t>Примечание (обоснование к внесению изменений)</t>
  </si>
  <si>
    <t>СИЦ</t>
  </si>
  <si>
    <t xml:space="preserve">уменьшение количества человек получающих компенсационные выплаты на отдых и оздоровление </t>
  </si>
  <si>
    <t>уточнение количества молодых специалистов, получающих компенсацию на проезд</t>
  </si>
  <si>
    <t>Заместитель директора СПб ГКУ ЦБ АНР</t>
  </si>
  <si>
    <t>Т.А. Возная</t>
  </si>
  <si>
    <t>сады</t>
  </si>
  <si>
    <t>здрав</t>
  </si>
  <si>
    <t>школы</t>
  </si>
  <si>
    <t>передвинули на проезд</t>
  </si>
  <si>
    <t>по данным Жеребцовой на 01,09,2018</t>
  </si>
  <si>
    <t>за авг</t>
  </si>
  <si>
    <t>план выплат на 2018</t>
  </si>
  <si>
    <t>снимаем!!!!</t>
  </si>
  <si>
    <t>2018г</t>
  </si>
  <si>
    <t xml:space="preserve">ГБОУ     </t>
  </si>
  <si>
    <t>ФИО (молодые специалисты получающие компенсацию на проезд)</t>
  </si>
  <si>
    <t>сентябрь</t>
  </si>
  <si>
    <t>октябрь</t>
  </si>
  <si>
    <t>ноябрь</t>
  </si>
  <si>
    <t>декабрь</t>
  </si>
  <si>
    <t>1.Ершов А.Г.
2.Шкут Л.А.
3.Юзичева А.В.
4.</t>
  </si>
  <si>
    <t>1.
2.
3.
4.</t>
  </si>
  <si>
    <t>1.Кузнецова В.П.
2.Дудник А.А.
3.Холистов Д.С.
4.</t>
  </si>
  <si>
    <t>1.Кузнецова В.П.
2.Дудник А.А.
3.Холистов Д.С..
4.</t>
  </si>
  <si>
    <t>1.---------
2.
3.
4.</t>
  </si>
  <si>
    <t>1.----------
2.
3.
4.</t>
  </si>
  <si>
    <t>1.Яковлева А.С.
2.
3.
4.</t>
  </si>
  <si>
    <t>1.Кощуг Д.Ю.
2.
3.
4.</t>
  </si>
  <si>
    <t>1.-------------
2.
3.
4.</t>
  </si>
  <si>
    <t>1.------------------
2.
3.
4.</t>
  </si>
  <si>
    <t>1.----------------
2.
3.
4.</t>
  </si>
  <si>
    <t>1.Логинова И.А.
2.
3.
4.</t>
  </si>
  <si>
    <t>1.Суханова А.А.
2.
3.
4.</t>
  </si>
  <si>
    <t>1.---------------
2.
3.
4.</t>
  </si>
  <si>
    <t>1.--------------
2.
3.
4.</t>
  </si>
  <si>
    <t>1.Кубашова Д.П.
2.Таратайко Е.К.
3.
4.</t>
  </si>
  <si>
    <t>1. Валышкова Е.А.
2.
3.
4.</t>
  </si>
  <si>
    <t>1.Валышкова Е.А.
2.
3.
4.</t>
  </si>
  <si>
    <t>1.Будейкина Е.А.
2.Белорукова А.А.
3.Фролова С.А.
4.Чинокалова К.В.</t>
  </si>
  <si>
    <t>1.Белорукова А.А.
2.Фролова С.А.
3.Чинокалова К.В.
4.</t>
  </si>
  <si>
    <t>1.Белкина Олеся Алексеевна
2.Родионова Екатерина Романовна
3.Румянцева Мария Владимировна
4.</t>
  </si>
  <si>
    <t>1.Суровцев В.Л.
2.Трофимова В.А.
3.Ульянова Д.С.
4.</t>
  </si>
  <si>
    <t>1..Суровцев В.Л.
2.Трофимова В.А.
3..Ульянова Д.С.
4.</t>
  </si>
  <si>
    <t>1..Суровцев В.Л.
2.Трофимова В.А.
3.Ульянова Д.С..
4.</t>
  </si>
  <si>
    <t>1.Ленько Влада Дмитриевна
2.
3.
4.</t>
  </si>
  <si>
    <t>1.Авсеева Е.Б.
2.Ярушина Я.В.
3.
4.</t>
  </si>
  <si>
    <t>1.Дергунская К.С.
2.
3.
4.</t>
  </si>
  <si>
    <t>1. Клаева С.В.
2.
3.
4.</t>
  </si>
  <si>
    <t>1.Кучинская Т.Ю.
2. Синятникова Е.А.
3.
4.</t>
  </si>
  <si>
    <t>1.Кучинская Т.Ю.
2.Синятникова Е.А.
3.
4.</t>
  </si>
  <si>
    <t>1.Климова И.А.
2.
3.
4.</t>
  </si>
  <si>
    <t>1.Агапитова Д.А.
2.Опарина Я.О
3.Плешаков Н.В.
4.Турпакова А.В.</t>
  </si>
  <si>
    <t>1.Агапитова Д.А.
2.
3.Плешаков Н.В.
4.Турпакова А.В.</t>
  </si>
  <si>
    <t>1. Лебедев К.В.
2. Петрова А.В.
3. Столина Д.Д.
4. Хрусталева В.Н.</t>
  </si>
  <si>
    <t xml:space="preserve">1. Лебедев К.В.
2. Петрова А.В.
3. Столина Д.Д.
</t>
  </si>
  <si>
    <t>1.Дугавец Ю.А.
2.
3.
4.</t>
  </si>
  <si>
    <t>1.Дугавец Ю.А
2.
3.
4.</t>
  </si>
  <si>
    <t>1.Акимова О.П.
2.
3.
4.</t>
  </si>
  <si>
    <t>1. Вовк М.О.
2. Вовк М.О.
3.
4.</t>
  </si>
  <si>
    <t>1. Вовк М.О.
2.
3.
4.</t>
  </si>
  <si>
    <t>1.Лойко П.А.
2.
3.
4.</t>
  </si>
  <si>
    <t>1..Лойко П.А.
2.
3.
4.</t>
  </si>
  <si>
    <t>ЦППМСП</t>
  </si>
  <si>
    <t>1.Жалонкина М.А.
2.
3.
4.</t>
  </si>
  <si>
    <t>1.Жалонкина М.А.
2.
3.
4.</t>
  </si>
  <si>
    <t>1.Просолова А.А. 
2.
3.
4.</t>
  </si>
  <si>
    <t>1Просолова А.А. .
2.
3.
4.</t>
  </si>
  <si>
    <t>1.Менькова А.А.
2.Петухов М.Г.
3.Романов О.И.
4.</t>
  </si>
  <si>
    <t>1.Менькова А.А.
2.Петухов М.Г.
3.Романов О.И..
4.</t>
  </si>
  <si>
    <t>1.Дербина М.А.
2.
3.
4.</t>
  </si>
  <si>
    <t xml:space="preserve">1. Шершнева А.А.
2. Николаев Н.В.
</t>
  </si>
  <si>
    <t xml:space="preserve">1. Шершнева А.А.
2. Николаев Н.В.
</t>
  </si>
  <si>
    <r>
      <t>1</t>
    </r>
    <r>
      <rPr>
        <sz val="11"/>
        <color rgb="FFFF0000"/>
        <rFont val="Calibri"/>
        <family val="2"/>
        <charset val="204"/>
        <scheme val="minor"/>
      </rPr>
      <t xml:space="preserve">. </t>
    </r>
    <r>
      <rPr>
        <b/>
        <sz val="11"/>
        <color rgb="FFFF0000"/>
        <rFont val="Calibri"/>
        <family val="2"/>
        <charset val="204"/>
        <scheme val="minor"/>
      </rPr>
      <t>Ширяев с 01.09.2018</t>
    </r>
    <r>
      <rPr>
        <sz val="11"/>
        <color theme="1"/>
        <rFont val="Calibri"/>
        <family val="2"/>
        <charset val="204"/>
        <scheme val="minor"/>
      </rPr>
      <t xml:space="preserve">
2.
3.
4.</t>
    </r>
  </si>
  <si>
    <r>
      <t xml:space="preserve">1. </t>
    </r>
    <r>
      <rPr>
        <sz val="11"/>
        <color rgb="FFFF0000"/>
        <rFont val="Calibri"/>
        <family val="2"/>
        <charset val="204"/>
        <scheme val="minor"/>
      </rPr>
      <t>Ледкова с 01.09.2018</t>
    </r>
    <r>
      <rPr>
        <sz val="11"/>
        <color theme="1"/>
        <rFont val="Calibri"/>
        <family val="2"/>
        <charset val="204"/>
        <scheme val="minor"/>
      </rPr>
      <t xml:space="preserve">
2.
3.
4.</t>
    </r>
  </si>
  <si>
    <r>
      <t xml:space="preserve">1.Долбина М.С.
2.Полянская В.В.
3.Егорова В.В.
4.  </t>
    </r>
    <r>
      <rPr>
        <sz val="11"/>
        <color rgb="FFFF0000"/>
        <rFont val="Calibri"/>
        <family val="2"/>
        <charset val="204"/>
        <scheme val="minor"/>
      </rPr>
      <t>Губин с 01.09.2018
5. Климова с 01.09.2018</t>
    </r>
  </si>
  <si>
    <r>
      <t>1.Егорова В.В.
2</t>
    </r>
    <r>
      <rPr>
        <sz val="11"/>
        <color rgb="FFFF0000"/>
        <rFont val="Calibri"/>
        <family val="2"/>
        <charset val="204"/>
        <scheme val="minor"/>
      </rPr>
      <t xml:space="preserve">. Губин </t>
    </r>
    <r>
      <rPr>
        <sz val="11"/>
        <color theme="1"/>
        <rFont val="Calibri"/>
        <family val="2"/>
        <charset val="204"/>
        <scheme val="minor"/>
      </rPr>
      <t xml:space="preserve">
3.</t>
    </r>
    <r>
      <rPr>
        <sz val="11"/>
        <color rgb="FFFF0000"/>
        <rFont val="Calibri"/>
        <family val="2"/>
        <charset val="204"/>
        <scheme val="minor"/>
      </rPr>
      <t>Климова</t>
    </r>
    <r>
      <rPr>
        <sz val="11"/>
        <color theme="1"/>
        <rFont val="Calibri"/>
        <family val="2"/>
        <charset val="204"/>
        <scheme val="minor"/>
      </rPr>
      <t xml:space="preserve">
4.</t>
    </r>
  </si>
  <si>
    <r>
      <t xml:space="preserve">1. </t>
    </r>
    <r>
      <rPr>
        <sz val="11"/>
        <color rgb="FFFF0000"/>
        <rFont val="Calibri"/>
        <family val="2"/>
        <charset val="204"/>
        <scheme val="minor"/>
      </rPr>
      <t>Миловидова с 01.09.2018
2. Фихт с 01.09.2018</t>
    </r>
    <r>
      <rPr>
        <sz val="11"/>
        <color theme="1"/>
        <rFont val="Calibri"/>
        <family val="2"/>
        <charset val="204"/>
        <scheme val="minor"/>
      </rPr>
      <t xml:space="preserve">
3.
4.</t>
    </r>
  </si>
  <si>
    <r>
      <t xml:space="preserve">1.Конкина А.И.
2.Куманина А.Н.
3.Лебедев Е.Д.
4.Немцов А.В.                                                                                                              
 5.Нестеров В.А.
</t>
    </r>
    <r>
      <rPr>
        <sz val="11"/>
        <color rgb="FFFF0000"/>
        <rFont val="Calibri"/>
        <family val="2"/>
        <charset val="204"/>
        <scheme val="minor"/>
      </rPr>
      <t>6. Васильева с 01.09.2018</t>
    </r>
  </si>
  <si>
    <r>
      <t>1.Казандаева Е.И.
2.</t>
    </r>
    <r>
      <rPr>
        <sz val="11"/>
        <color rgb="FFFF0000"/>
        <rFont val="Calibri"/>
        <family val="2"/>
        <charset val="204"/>
        <scheme val="minor"/>
      </rPr>
      <t xml:space="preserve"> Афиногенова ЮВ с 01.09.2018</t>
    </r>
    <r>
      <rPr>
        <sz val="11"/>
        <color theme="1"/>
        <rFont val="Calibri"/>
        <family val="2"/>
        <charset val="204"/>
        <scheme val="minor"/>
      </rPr>
      <t xml:space="preserve">
3.
4.</t>
    </r>
  </si>
  <si>
    <r>
      <t xml:space="preserve">1.Мельникова А.Н.
2.Соколова А.С.
3.Носкова Е.И.
4. </t>
    </r>
    <r>
      <rPr>
        <sz val="11"/>
        <color rgb="FFFF0000"/>
        <rFont val="Calibri"/>
        <family val="2"/>
        <charset val="204"/>
        <scheme val="minor"/>
      </rPr>
      <t>Волынцев  с 01.09.2018</t>
    </r>
  </si>
  <si>
    <r>
      <t>1.</t>
    </r>
    <r>
      <rPr>
        <sz val="11"/>
        <color rgb="FFFF0000"/>
        <rFont val="Calibri"/>
        <family val="2"/>
        <charset val="204"/>
        <scheme val="minor"/>
      </rPr>
      <t>Артамонова КС с 01.09.2018</t>
    </r>
    <r>
      <rPr>
        <sz val="11"/>
        <color theme="1"/>
        <rFont val="Calibri"/>
        <family val="2"/>
        <charset val="204"/>
        <scheme val="minor"/>
      </rPr>
      <t xml:space="preserve">
2.
3.
4.</t>
    </r>
  </si>
  <si>
    <r>
      <t xml:space="preserve">1. Балмастова К.С.
2. Белоконь Г.А.
3. Домахина А.А.
4. Макеева Д.Ю.                                                         
  5. Ничипоренко П.А.                                    
 6. Шородок О.В.
</t>
    </r>
    <r>
      <rPr>
        <sz val="11"/>
        <color rgb="FFFF0000"/>
        <rFont val="Calibri"/>
        <family val="2"/>
        <charset val="204"/>
        <scheme val="minor"/>
      </rPr>
      <t>7. Кожаева с 01.09.2018
8. Исакова с 01.09.2018
9. Белова с 01. 09.2018</t>
    </r>
  </si>
  <si>
    <r>
      <t xml:space="preserve">1. Балмастова К.С.
2. Макеева Д.Ю. 
3. Ничипоренко П.А.    
4. </t>
    </r>
    <r>
      <rPr>
        <sz val="11"/>
        <color rgb="FFFF0000"/>
        <rFont val="Calibri"/>
        <family val="2"/>
        <charset val="204"/>
        <scheme val="minor"/>
      </rPr>
      <t>Кожаева с 01.09.2018
5. Исакова с 01.09.2018
6. Белова с 01. 09.2018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</si>
  <si>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>1.</t>
    </r>
    <r>
      <rPr>
        <sz val="11"/>
        <color rgb="FFFF0000"/>
        <rFont val="Calibri"/>
        <family val="2"/>
        <charset val="204"/>
        <scheme val="minor"/>
      </rPr>
      <t>Шлепаков ЮБ с 01.09.2018</t>
    </r>
    <r>
      <rPr>
        <sz val="11"/>
        <color theme="1"/>
        <rFont val="Calibri"/>
        <family val="2"/>
        <charset val="204"/>
        <scheme val="minor"/>
      </rPr>
      <t xml:space="preserve">
2.
3.
4.</t>
    </r>
  </si>
  <si>
    <r>
      <t>1.</t>
    </r>
    <r>
      <rPr>
        <sz val="11"/>
        <color rgb="FFFF0000"/>
        <rFont val="Calibri"/>
        <family val="2"/>
        <charset val="204"/>
        <scheme val="minor"/>
      </rPr>
      <t>Гаджикеримова с 01.09.2018</t>
    </r>
    <r>
      <rPr>
        <sz val="11"/>
        <color theme="1"/>
        <rFont val="Calibri"/>
        <family val="2"/>
        <charset val="204"/>
        <scheme val="minor"/>
      </rPr>
      <t xml:space="preserve">
2.
3.
4.</t>
    </r>
  </si>
  <si>
    <r>
      <t>1.</t>
    </r>
    <r>
      <rPr>
        <sz val="11"/>
        <color rgb="FFFF0000"/>
        <rFont val="Calibri"/>
        <family val="2"/>
        <charset val="204"/>
        <scheme val="minor"/>
      </rPr>
      <t>Сиденко с 01.09.2018</t>
    </r>
    <r>
      <rPr>
        <sz val="11"/>
        <color theme="1"/>
        <rFont val="Calibri"/>
        <family val="2"/>
        <charset val="204"/>
        <scheme val="minor"/>
      </rPr>
      <t xml:space="preserve">
2.
3.
4.</t>
    </r>
  </si>
  <si>
    <r>
      <t xml:space="preserve">1.Мамедова Н.К.
2.Пермякова И.М.
3. </t>
    </r>
    <r>
      <rPr>
        <sz val="11"/>
        <color rgb="FFFF0000"/>
        <rFont val="Calibri"/>
        <family val="2"/>
        <charset val="204"/>
        <scheme val="minor"/>
      </rPr>
      <t>Никкоенн с 01.09.2018
4.Смирнова с 01.09.2018</t>
    </r>
  </si>
  <si>
    <r>
      <t xml:space="preserve">1.Суханов И.В.
2. </t>
    </r>
    <r>
      <rPr>
        <sz val="11"/>
        <color rgb="FFFF0000"/>
        <rFont val="Calibri"/>
        <family val="2"/>
        <charset val="204"/>
        <scheme val="minor"/>
      </rPr>
      <t>Никкоенн с 01.09.2018</t>
    </r>
    <r>
      <rPr>
        <sz val="11"/>
        <color theme="1"/>
        <rFont val="Calibri"/>
        <family val="2"/>
        <charset val="204"/>
        <scheme val="minor"/>
      </rPr>
      <t xml:space="preserve">
3.</t>
    </r>
    <r>
      <rPr>
        <sz val="11"/>
        <color rgb="FFFF0000"/>
        <rFont val="Calibri"/>
        <family val="2"/>
        <charset val="204"/>
        <scheme val="minor"/>
      </rPr>
      <t>Смирнова с 01.09.2018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</si>
  <si>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1. </t>
    </r>
    <r>
      <rPr>
        <sz val="11"/>
        <color rgb="FFFF0000"/>
        <rFont val="Calibri"/>
        <family val="2"/>
        <charset val="204"/>
        <scheme val="minor"/>
      </rPr>
      <t xml:space="preserve">Неженкова с 01.09.2108
</t>
    </r>
    <r>
      <rPr>
        <sz val="11"/>
        <color theme="1"/>
        <rFont val="Calibri"/>
        <family val="2"/>
        <charset val="204"/>
        <scheme val="minor"/>
      </rPr>
      <t xml:space="preserve">
2.
3.
4.</t>
    </r>
  </si>
  <si>
    <t>1. Павлова с 01.09.2018
2. Василенко с 01.09.2018
3.
4.</t>
  </si>
  <si>
    <r>
      <rPr>
        <sz val="11"/>
        <color rgb="FFFF0000"/>
        <rFont val="Calibri"/>
        <family val="2"/>
        <charset val="204"/>
        <scheme val="minor"/>
      </rPr>
      <t>1. Павлова с 01.09.2018
2. Василенко с 01.09.2018</t>
    </r>
    <r>
      <rPr>
        <sz val="11"/>
        <color theme="1"/>
        <rFont val="Calibri"/>
        <family val="2"/>
        <charset val="204"/>
        <scheme val="minor"/>
      </rPr>
      <t xml:space="preserve">
3.
4.</t>
    </r>
  </si>
  <si>
    <r>
      <t xml:space="preserve">1.Василькова А.В.
</t>
    </r>
    <r>
      <rPr>
        <sz val="11"/>
        <color rgb="FFFF0000"/>
        <rFont val="Calibri"/>
        <family val="2"/>
        <charset val="204"/>
        <scheme val="minor"/>
      </rPr>
      <t>2. Тралова с 01.09.2018
3. Левичева с 01.09.2018</t>
    </r>
    <r>
      <rPr>
        <sz val="11"/>
        <color theme="1"/>
        <rFont val="Calibri"/>
        <family val="2"/>
        <charset val="204"/>
        <scheme val="minor"/>
      </rPr>
      <t xml:space="preserve">
4.</t>
    </r>
  </si>
  <si>
    <t>1. Рыжов МВ с 01.09.2018
2.
3.
4.</t>
  </si>
  <si>
    <r>
      <t xml:space="preserve">1. </t>
    </r>
    <r>
      <rPr>
        <sz val="11"/>
        <color rgb="FFFF0000"/>
        <rFont val="Calibri"/>
        <family val="2"/>
        <charset val="204"/>
        <scheme val="minor"/>
      </rPr>
      <t>Рыжов МВ с 01.09.2018</t>
    </r>
    <r>
      <rPr>
        <sz val="11"/>
        <color theme="1"/>
        <rFont val="Calibri"/>
        <family val="2"/>
        <charset val="204"/>
        <scheme val="minor"/>
      </rPr>
      <t xml:space="preserve">
2.
3.
4.</t>
    </r>
  </si>
  <si>
    <t>1. Матвеева с 01.09.2018
2. Яковлева с 01.09.2018
3.
4.</t>
  </si>
  <si>
    <r>
      <t>1.</t>
    </r>
    <r>
      <rPr>
        <sz val="11"/>
        <color rgb="FFFF0000"/>
        <rFont val="Calibri"/>
        <family val="2"/>
        <charset val="204"/>
        <scheme val="minor"/>
      </rPr>
      <t xml:space="preserve"> Матвеева с 01.09.2018
2. Яковлева с 01.09.2018</t>
    </r>
    <r>
      <rPr>
        <sz val="11"/>
        <color theme="1"/>
        <rFont val="Calibri"/>
        <family val="2"/>
        <charset val="204"/>
        <scheme val="minor"/>
      </rPr>
      <t xml:space="preserve">
3.
4.</t>
    </r>
  </si>
  <si>
    <r>
      <t xml:space="preserve">1.Бугрова Е.Е.
2.Думачева Е.А.
</t>
    </r>
    <r>
      <rPr>
        <sz val="11"/>
        <color rgb="FFFF0000"/>
        <rFont val="Calibri"/>
        <family val="2"/>
        <charset val="204"/>
        <scheme val="minor"/>
      </rPr>
      <t>3.Буйволова КС с 01.09.2018</t>
    </r>
    <r>
      <rPr>
        <sz val="11"/>
        <color theme="1"/>
        <rFont val="Calibri"/>
        <family val="2"/>
        <charset val="204"/>
        <scheme val="minor"/>
      </rPr>
      <t xml:space="preserve">
4.</t>
    </r>
  </si>
  <si>
    <r>
      <t xml:space="preserve">1.Ненарова Е.В.
2.Шейн Е.Г.
3. </t>
    </r>
    <r>
      <rPr>
        <sz val="11"/>
        <color rgb="FFFF0000"/>
        <rFont val="Calibri"/>
        <family val="2"/>
        <charset val="204"/>
        <scheme val="minor"/>
      </rPr>
      <t>Алиева с 01.09.2018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11"/>
        <color rgb="FFFF0000"/>
        <rFont val="Calibri"/>
        <family val="2"/>
        <charset val="204"/>
        <scheme val="minor"/>
      </rPr>
      <t>4. Куйкина с 01,09,2018
5. Ненарова  с 01,09,2018
6. Пономарева с 01,09,2018
7. Шейн с 01,09,2018</t>
    </r>
  </si>
  <si>
    <r>
      <t>1.</t>
    </r>
    <r>
      <rPr>
        <sz val="11"/>
        <color rgb="FFFF0000"/>
        <rFont val="Calibri"/>
        <family val="2"/>
        <charset val="204"/>
        <scheme val="minor"/>
      </rPr>
      <t>Земельным с 01.09.2018
2.</t>
    </r>
    <r>
      <rPr>
        <sz val="11"/>
        <color theme="1"/>
        <rFont val="Calibri"/>
        <family val="2"/>
        <charset val="204"/>
        <scheme val="minor"/>
      </rPr>
      <t xml:space="preserve">
3.
4.</t>
    </r>
  </si>
  <si>
    <r>
      <t>1.</t>
    </r>
    <r>
      <rPr>
        <sz val="11"/>
        <color rgb="FFFF0000"/>
        <rFont val="Calibri"/>
        <family val="2"/>
        <charset val="204"/>
        <scheme val="minor"/>
      </rPr>
      <t xml:space="preserve"> Почтарева с 01.09.2018</t>
    </r>
    <r>
      <rPr>
        <sz val="11"/>
        <color theme="1"/>
        <rFont val="Calibri"/>
        <family val="2"/>
        <charset val="204"/>
        <scheme val="minor"/>
      </rPr>
      <t xml:space="preserve">
2.
3.
4.</t>
    </r>
  </si>
  <si>
    <r>
      <rPr>
        <sz val="11"/>
        <color rgb="FFFF0000"/>
        <rFont val="Calibri"/>
        <family val="2"/>
        <charset val="204"/>
        <scheme val="minor"/>
      </rPr>
      <t>1.Тютюнникова  с 01.09.2018</t>
    </r>
    <r>
      <rPr>
        <sz val="11"/>
        <color theme="1"/>
        <rFont val="Calibri"/>
        <family val="2"/>
        <charset val="204"/>
        <scheme val="minor"/>
      </rPr>
      <t xml:space="preserve">
2.
3.
4.</t>
    </r>
  </si>
  <si>
    <t>1. Фадеева с 01,09,2018
2.
3.
4.</t>
  </si>
  <si>
    <r>
      <rPr>
        <sz val="11"/>
        <color rgb="FFFF0000"/>
        <rFont val="Calibri"/>
        <family val="2"/>
        <charset val="204"/>
        <scheme val="minor"/>
      </rPr>
      <t>1. Фадеева с 01,09,2018</t>
    </r>
    <r>
      <rPr>
        <sz val="11"/>
        <color theme="1"/>
        <rFont val="Calibri"/>
        <family val="2"/>
        <charset val="204"/>
        <scheme val="minor"/>
      </rPr>
      <t xml:space="preserve">
2.
3.
4.</t>
    </r>
  </si>
  <si>
    <r>
      <t xml:space="preserve">1.Быстрова Е.В.
2.Якимова Л.М.
</t>
    </r>
    <r>
      <rPr>
        <sz val="11"/>
        <color rgb="FFFF0000"/>
        <rFont val="Calibri"/>
        <family val="2"/>
        <charset val="204"/>
        <scheme val="minor"/>
      </rPr>
      <t>3. Цимошенко с 01,09,2018</t>
    </r>
    <r>
      <rPr>
        <sz val="11"/>
        <color theme="1"/>
        <rFont val="Calibri"/>
        <family val="2"/>
        <charset val="204"/>
        <scheme val="minor"/>
      </rPr>
      <t xml:space="preserve">
4.</t>
    </r>
  </si>
  <si>
    <t>1. Васильчук с 01,09,2018
2. Свирихин с 01,09,2018
3.Ермакова с 01,09,2018
4.Скобелева с 01,09,2018</t>
  </si>
  <si>
    <t>сент</t>
  </si>
  <si>
    <t>окт</t>
  </si>
  <si>
    <t>нояб</t>
  </si>
  <si>
    <t>дек</t>
  </si>
  <si>
    <t>1. Миловидова с 01.09.2018
2. Фихт с 01.09.2018
3.
4.</t>
  </si>
  <si>
    <r>
      <t>1.Егорова В.В.
2</t>
    </r>
    <r>
      <rPr>
        <sz val="11"/>
        <color rgb="FFFF0000"/>
        <rFont val="Calibri"/>
        <family val="2"/>
        <charset val="204"/>
        <scheme val="minor"/>
      </rPr>
      <t xml:space="preserve">. Губин  с 01.09.2018
3.Климова с 01.09.2018
</t>
    </r>
    <r>
      <rPr>
        <sz val="11"/>
        <color theme="1"/>
        <rFont val="Calibri"/>
        <family val="2"/>
        <charset val="204"/>
        <scheme val="minor"/>
      </rPr>
      <t xml:space="preserve">
4.долбина, полянская </t>
    </r>
  </si>
  <si>
    <r>
      <t>1.Егорова В.В.
2</t>
    </r>
    <r>
      <rPr>
        <sz val="11"/>
        <color rgb="FFFF0000"/>
        <rFont val="Calibri"/>
        <family val="2"/>
        <charset val="204"/>
        <scheme val="minor"/>
      </rPr>
      <t>. Губин  с 01.09.2018</t>
    </r>
    <r>
      <rPr>
        <sz val="11"/>
        <color theme="1"/>
        <rFont val="Calibri"/>
        <family val="2"/>
        <charset val="204"/>
        <scheme val="minor"/>
      </rPr>
      <t xml:space="preserve">
3.</t>
    </r>
    <r>
      <rPr>
        <sz val="11"/>
        <color rgb="FFFF0000"/>
        <rFont val="Calibri"/>
        <family val="2"/>
        <charset val="204"/>
        <scheme val="minor"/>
      </rPr>
      <t>Климова с 01,09,2018</t>
    </r>
    <r>
      <rPr>
        <sz val="11"/>
        <color theme="1"/>
        <rFont val="Calibri"/>
        <family val="2"/>
        <charset val="204"/>
        <scheme val="minor"/>
      </rPr>
      <t xml:space="preserve">
4.</t>
    </r>
  </si>
  <si>
    <t>1.Богданова
2.
3.
4.</t>
  </si>
  <si>
    <r>
      <t>1.Казандаева Е.И.
2.</t>
    </r>
    <r>
      <rPr>
        <sz val="11"/>
        <color rgb="FFFF0000"/>
        <rFont val="Calibri"/>
        <family val="2"/>
        <charset val="204"/>
        <scheme val="minor"/>
      </rPr>
      <t xml:space="preserve"> Афиногенова ЮВ с 01.09.2018</t>
    </r>
    <r>
      <rPr>
        <sz val="11"/>
        <color theme="1"/>
        <rFont val="Calibri"/>
        <family val="2"/>
        <charset val="204"/>
        <scheme val="minor"/>
      </rPr>
      <t xml:space="preserve">
3. Кутупов РА с 01,09,2018
4.</t>
    </r>
  </si>
  <si>
    <t>715 516,50</t>
  </si>
  <si>
    <t>выплаты 262 (321) на 22.04.2019</t>
  </si>
  <si>
    <t>ПФХД 262(321)</t>
  </si>
  <si>
    <t>март выплаты</t>
  </si>
  <si>
    <t>кол-во карточек в марте</t>
  </si>
  <si>
    <t>апр-нояб</t>
  </si>
  <si>
    <t xml:space="preserve"> </t>
  </si>
  <si>
    <t>передвижка</t>
  </si>
  <si>
    <t>пфхд после передвижки</t>
  </si>
  <si>
    <t>сведения и соглашения  от 23 апреля !!!</t>
  </si>
  <si>
    <t>чел</t>
  </si>
  <si>
    <t>сумма</t>
  </si>
  <si>
    <t xml:space="preserve">  кол-во пед и мед на оздоровление</t>
  </si>
  <si>
    <t>санкур на 2020
 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</si>
</sst>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000"/>
    <numFmt numFmtId="166" formatCode="#,##0.0"/>
    <numFmt numFmtId="167" formatCode="0.0"/>
  </numFmts>
  <fonts count="9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6"/>
      <color rgb="FF000000"/>
      <name val="Calibri"/>
      <family val="2"/>
      <charset val="204"/>
    </font>
    <font>
      <i/>
      <sz val="8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6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00B05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008000"/>
      <name val="Times New Roman"/>
      <family val="1"/>
      <charset val="204"/>
    </font>
    <font>
      <sz val="10"/>
      <color rgb="FF0000C0"/>
      <name val="Times New Roman"/>
      <family val="1"/>
      <charset val="204"/>
    </font>
    <font>
      <sz val="8"/>
      <color rgb="FF0000C0"/>
      <name val="Times New Roman"/>
      <family val="1"/>
      <charset val="204"/>
    </font>
    <font>
      <b/>
      <i/>
      <sz val="10"/>
      <color rgb="FF0000C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8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8"/>
      <color rgb="FF000000"/>
      <name val="Arial Cyr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0"/>
      <color rgb="FF008000"/>
      <name val="Times New Roman"/>
      <family val="1"/>
      <charset val="204"/>
    </font>
    <font>
      <b/>
      <sz val="8"/>
      <color rgb="FF008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0"/>
      <color theme="7" tint="0.59999389629810485"/>
      <name val="Times New Roman"/>
      <family val="1"/>
      <charset val="204"/>
    </font>
    <font>
      <sz val="10"/>
      <color theme="7" tint="0.59999389629810485"/>
      <name val="Times New Roman"/>
      <family val="1"/>
      <charset val="204"/>
    </font>
    <font>
      <sz val="8"/>
      <color theme="7" tint="0.59999389629810485"/>
      <name val="Times New Roman"/>
      <family val="1"/>
      <charset val="204"/>
    </font>
    <font>
      <sz val="11"/>
      <color theme="7" tint="0.59999389629810485"/>
      <name val="Calibri"/>
      <family val="2"/>
      <charset val="204"/>
      <scheme val="minor"/>
    </font>
    <font>
      <sz val="9"/>
      <color theme="7" tint="0.59999389629810485"/>
      <name val="Times New Roman"/>
      <family val="1"/>
      <charset val="204"/>
    </font>
    <font>
      <b/>
      <i/>
      <sz val="10"/>
      <color theme="7" tint="0.59999389629810485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20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</font>
    <font>
      <sz val="11"/>
      <color rgb="FF00B050"/>
      <name val="Calibri"/>
      <family val="2"/>
      <charset val="204"/>
    </font>
    <font>
      <sz val="14"/>
      <color rgb="FF00B05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6" fillId="0" borderId="0"/>
    <xf numFmtId="0" fontId="18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8" fillId="0" borderId="0"/>
    <xf numFmtId="0" fontId="6" fillId="0" borderId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6" fillId="0" borderId="0"/>
  </cellStyleXfs>
  <cellXfs count="640">
    <xf numFmtId="0" fontId="0" fillId="0" borderId="0" xfId="0"/>
    <xf numFmtId="4" fontId="0" fillId="0" borderId="0" xfId="0" applyNumberFormat="1"/>
    <xf numFmtId="0" fontId="0" fillId="0" borderId="1" xfId="0" applyBorder="1"/>
    <xf numFmtId="0" fontId="3" fillId="0" borderId="1" xfId="1" applyFont="1" applyFill="1" applyBorder="1" applyAlignment="1">
      <alignment horizontal="left" wrapText="1"/>
    </xf>
    <xf numFmtId="0" fontId="7" fillId="3" borderId="0" xfId="2" applyFont="1" applyFill="1" applyAlignment="1"/>
    <xf numFmtId="0" fontId="7" fillId="3" borderId="0" xfId="2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7" fillId="3" borderId="0" xfId="2" applyFont="1" applyFill="1"/>
    <xf numFmtId="0" fontId="9" fillId="3" borderId="0" xfId="2" applyFont="1" applyFill="1"/>
    <xf numFmtId="0" fontId="10" fillId="3" borderId="0" xfId="2" applyFont="1" applyFill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10" fontId="11" fillId="3" borderId="0" xfId="2" applyNumberFormat="1" applyFont="1" applyFill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0" fillId="3" borderId="0" xfId="2" applyFont="1" applyFill="1" applyAlignment="1"/>
    <xf numFmtId="0" fontId="19" fillId="4" borderId="1" xfId="3" applyFont="1" applyFill="1" applyBorder="1" applyAlignment="1">
      <alignment horizontal="center" vertical="center" wrapText="1"/>
    </xf>
    <xf numFmtId="3" fontId="9" fillId="4" borderId="5" xfId="3" applyNumberFormat="1" applyFont="1" applyFill="1" applyBorder="1" applyAlignment="1">
      <alignment horizontal="center" vertical="center" wrapText="1"/>
    </xf>
    <xf numFmtId="165" fontId="11" fillId="5" borderId="1" xfId="2" applyNumberFormat="1" applyFont="1" applyFill="1" applyBorder="1" applyAlignment="1">
      <alignment horizontal="center" vertical="center"/>
    </xf>
    <xf numFmtId="0" fontId="9" fillId="4" borderId="5" xfId="3" applyFont="1" applyFill="1" applyBorder="1" applyAlignment="1">
      <alignment horizontal="center" vertical="center" wrapText="1"/>
    </xf>
    <xf numFmtId="0" fontId="20" fillId="6" borderId="6" xfId="2" applyFont="1" applyFill="1" applyBorder="1" applyAlignment="1" applyProtection="1">
      <alignment horizontal="left" vertical="center"/>
    </xf>
    <xf numFmtId="0" fontId="9" fillId="4" borderId="1" xfId="3" applyFont="1" applyFill="1" applyBorder="1" applyAlignment="1">
      <alignment horizontal="center" vertical="center" wrapText="1"/>
    </xf>
    <xf numFmtId="3" fontId="9" fillId="4" borderId="1" xfId="3" applyNumberFormat="1" applyFont="1" applyFill="1" applyBorder="1" applyAlignment="1">
      <alignment horizontal="center" vertical="center" wrapText="1"/>
    </xf>
    <xf numFmtId="0" fontId="10" fillId="3" borderId="0" xfId="2" applyFont="1" applyFill="1" applyBorder="1" applyAlignment="1"/>
    <xf numFmtId="0" fontId="23" fillId="3" borderId="0" xfId="2" applyFont="1" applyFill="1" applyAlignment="1"/>
    <xf numFmtId="4" fontId="25" fillId="2" borderId="1" xfId="2" applyNumberFormat="1" applyFont="1" applyFill="1" applyBorder="1" applyAlignment="1">
      <alignment horizontal="center" vertical="center" wrapText="1"/>
    </xf>
    <xf numFmtId="4" fontId="24" fillId="4" borderId="1" xfId="2" applyNumberFormat="1" applyFont="1" applyFill="1" applyBorder="1" applyAlignment="1">
      <alignment horizontal="center" vertical="center" wrapText="1"/>
    </xf>
    <xf numFmtId="4" fontId="24" fillId="2" borderId="1" xfId="2" applyNumberFormat="1" applyFont="1" applyFill="1" applyBorder="1" applyAlignment="1">
      <alignment horizontal="center" vertical="center" wrapText="1"/>
    </xf>
    <xf numFmtId="4" fontId="24" fillId="5" borderId="1" xfId="2" applyNumberFormat="1" applyFont="1" applyFill="1" applyBorder="1" applyAlignment="1">
      <alignment horizontal="center" vertical="center" wrapText="1"/>
    </xf>
    <xf numFmtId="0" fontId="26" fillId="3" borderId="0" xfId="2" applyFont="1" applyFill="1"/>
    <xf numFmtId="4" fontId="9" fillId="3" borderId="0" xfId="2" applyNumberFormat="1" applyFont="1" applyFill="1"/>
    <xf numFmtId="4" fontId="7" fillId="3" borderId="0" xfId="2" applyNumberFormat="1" applyFont="1" applyFill="1"/>
    <xf numFmtId="3" fontId="7" fillId="3" borderId="0" xfId="2" applyNumberFormat="1" applyFont="1" applyFill="1"/>
    <xf numFmtId="0" fontId="2" fillId="0" borderId="0" xfId="2" applyFont="1" applyAlignment="1">
      <alignment horizontal="center"/>
    </xf>
    <xf numFmtId="0" fontId="6" fillId="0" borderId="0" xfId="2" applyAlignment="1">
      <alignment horizontal="center"/>
    </xf>
    <xf numFmtId="0" fontId="6" fillId="0" borderId="0" xfId="2"/>
    <xf numFmtId="0" fontId="6" fillId="3" borderId="0" xfId="2" applyFill="1"/>
    <xf numFmtId="0" fontId="2" fillId="0" borderId="0" xfId="2" applyFont="1"/>
    <xf numFmtId="0" fontId="30" fillId="3" borderId="0" xfId="2" applyFont="1" applyFill="1" applyAlignment="1"/>
    <xf numFmtId="0" fontId="30" fillId="0" borderId="0" xfId="2" applyFont="1"/>
    <xf numFmtId="0" fontId="29" fillId="0" borderId="0" xfId="2" applyFont="1"/>
    <xf numFmtId="0" fontId="2" fillId="0" borderId="7" xfId="2" applyFont="1" applyBorder="1" applyAlignment="1">
      <alignment horizontal="center"/>
    </xf>
    <xf numFmtId="3" fontId="6" fillId="0" borderId="8" xfId="2" applyNumberFormat="1" applyBorder="1" applyAlignment="1">
      <alignment horizontal="center" wrapText="1"/>
    </xf>
    <xf numFmtId="0" fontId="6" fillId="0" borderId="8" xfId="2" applyBorder="1"/>
    <xf numFmtId="166" fontId="6" fillId="0" borderId="8" xfId="2" applyNumberFormat="1" applyBorder="1"/>
    <xf numFmtId="3" fontId="6" fillId="2" borderId="9" xfId="2" applyNumberFormat="1" applyFill="1" applyBorder="1"/>
    <xf numFmtId="3" fontId="6" fillId="3" borderId="0" xfId="2" applyNumberFormat="1" applyFill="1" applyBorder="1"/>
    <xf numFmtId="3" fontId="6" fillId="0" borderId="1" xfId="2" applyNumberFormat="1" applyBorder="1" applyAlignment="1">
      <alignment horizontal="center" wrapText="1"/>
    </xf>
    <xf numFmtId="0" fontId="6" fillId="0" borderId="1" xfId="2" applyBorder="1"/>
    <xf numFmtId="10" fontId="6" fillId="0" borderId="1" xfId="2" applyNumberFormat="1" applyBorder="1"/>
    <xf numFmtId="0" fontId="2" fillId="0" borderId="1" xfId="2" applyFont="1" applyBorder="1"/>
    <xf numFmtId="0" fontId="2" fillId="0" borderId="10" xfId="2" applyFont="1" applyBorder="1" applyAlignment="1">
      <alignment horizontal="center"/>
    </xf>
    <xf numFmtId="3" fontId="6" fillId="0" borderId="5" xfId="2" applyNumberFormat="1" applyBorder="1" applyAlignment="1">
      <alignment horizontal="center"/>
    </xf>
    <xf numFmtId="166" fontId="6" fillId="0" borderId="5" xfId="2" applyNumberFormat="1" applyBorder="1"/>
    <xf numFmtId="3" fontId="6" fillId="0" borderId="5" xfId="2" applyNumberFormat="1" applyBorder="1"/>
    <xf numFmtId="3" fontId="6" fillId="2" borderId="11" xfId="2" applyNumberFormat="1" applyFill="1" applyBorder="1"/>
    <xf numFmtId="2" fontId="6" fillId="0" borderId="5" xfId="2" applyNumberFormat="1" applyBorder="1"/>
    <xf numFmtId="2" fontId="6" fillId="0" borderId="1" xfId="2" applyNumberFormat="1" applyBorder="1"/>
    <xf numFmtId="0" fontId="2" fillId="0" borderId="2" xfId="2" applyFont="1" applyBorder="1" applyAlignment="1">
      <alignment horizontal="center"/>
    </xf>
    <xf numFmtId="3" fontId="6" fillId="0" borderId="1" xfId="2" applyNumberFormat="1" applyBorder="1" applyAlignment="1">
      <alignment horizontal="center"/>
    </xf>
    <xf numFmtId="166" fontId="6" fillId="0" borderId="1" xfId="2" applyNumberFormat="1" applyBorder="1"/>
    <xf numFmtId="3" fontId="6" fillId="0" borderId="1" xfId="2" applyNumberFormat="1" applyBorder="1"/>
    <xf numFmtId="3" fontId="6" fillId="2" borderId="12" xfId="2" applyNumberFormat="1" applyFill="1" applyBorder="1"/>
    <xf numFmtId="0" fontId="2" fillId="0" borderId="13" xfId="2" applyFont="1" applyBorder="1" applyAlignment="1">
      <alignment horizontal="center"/>
    </xf>
    <xf numFmtId="3" fontId="6" fillId="0" borderId="14" xfId="2" applyNumberFormat="1" applyBorder="1" applyAlignment="1">
      <alignment horizontal="center"/>
    </xf>
    <xf numFmtId="166" fontId="6" fillId="0" borderId="14" xfId="2" applyNumberFormat="1" applyBorder="1"/>
    <xf numFmtId="3" fontId="6" fillId="0" borderId="14" xfId="2" applyNumberFormat="1" applyBorder="1"/>
    <xf numFmtId="3" fontId="6" fillId="2" borderId="15" xfId="2" applyNumberFormat="1" applyFill="1" applyBorder="1"/>
    <xf numFmtId="4" fontId="6" fillId="0" borderId="1" xfId="2" applyNumberFormat="1" applyBorder="1"/>
    <xf numFmtId="164" fontId="0" fillId="0" borderId="1" xfId="13" applyFont="1" applyBorder="1"/>
    <xf numFmtId="3" fontId="2" fillId="0" borderId="1" xfId="2" applyNumberFormat="1" applyFont="1" applyBorder="1"/>
    <xf numFmtId="3" fontId="6" fillId="0" borderId="0" xfId="2" applyNumberFormat="1"/>
    <xf numFmtId="3" fontId="6" fillId="3" borderId="0" xfId="2" applyNumberFormat="1" applyFill="1"/>
    <xf numFmtId="3" fontId="31" fillId="0" borderId="0" xfId="2" applyNumberFormat="1" applyFont="1"/>
    <xf numFmtId="0" fontId="31" fillId="0" borderId="0" xfId="2" applyFont="1"/>
    <xf numFmtId="3" fontId="2" fillId="0" borderId="0" xfId="2" applyNumberFormat="1" applyFont="1"/>
    <xf numFmtId="3" fontId="26" fillId="3" borderId="0" xfId="2" applyNumberFormat="1" applyFont="1" applyFill="1"/>
    <xf numFmtId="0" fontId="2" fillId="0" borderId="1" xfId="2" applyFont="1" applyBorder="1" applyAlignment="1">
      <alignment horizontal="center"/>
    </xf>
    <xf numFmtId="0" fontId="3" fillId="0" borderId="2" xfId="1" applyFont="1" applyFill="1" applyBorder="1" applyAlignment="1">
      <alignment horizontal="left" wrapText="1"/>
    </xf>
    <xf numFmtId="0" fontId="14" fillId="2" borderId="1" xfId="2" applyFont="1" applyFill="1" applyBorder="1" applyAlignment="1">
      <alignment horizontal="center" vertical="center" wrapText="1"/>
    </xf>
    <xf numFmtId="0" fontId="6" fillId="2" borderId="1" xfId="2" applyFill="1" applyBorder="1"/>
    <xf numFmtId="3" fontId="2" fillId="0" borderId="3" xfId="2" applyNumberFormat="1" applyFont="1" applyBorder="1"/>
    <xf numFmtId="0" fontId="6" fillId="8" borderId="1" xfId="2" applyFill="1" applyBorder="1"/>
    <xf numFmtId="0" fontId="3" fillId="9" borderId="1" xfId="1" applyFont="1" applyFill="1" applyBorder="1" applyAlignment="1">
      <alignment horizontal="center"/>
    </xf>
    <xf numFmtId="0" fontId="0" fillId="8" borderId="1" xfId="0" applyFill="1" applyBorder="1"/>
    <xf numFmtId="4" fontId="5" fillId="8" borderId="1" xfId="1" applyNumberFormat="1" applyFont="1" applyFill="1" applyBorder="1" applyAlignment="1">
      <alignment horizontal="right" wrapText="1"/>
    </xf>
    <xf numFmtId="4" fontId="6" fillId="0" borderId="0" xfId="2" applyNumberFormat="1"/>
    <xf numFmtId="0" fontId="2" fillId="2" borderId="3" xfId="2" applyFont="1" applyFill="1" applyBorder="1"/>
    <xf numFmtId="4" fontId="24" fillId="4" borderId="16" xfId="2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/>
    </xf>
    <xf numFmtId="0" fontId="7" fillId="3" borderId="0" xfId="2" applyFont="1" applyFill="1" applyAlignment="1"/>
    <xf numFmtId="0" fontId="14" fillId="10" borderId="2" xfId="2" applyFont="1" applyFill="1" applyBorder="1" applyAlignment="1">
      <alignment horizontal="center" vertical="center" wrapText="1"/>
    </xf>
    <xf numFmtId="0" fontId="14" fillId="10" borderId="1" xfId="2" applyFont="1" applyFill="1" applyBorder="1" applyAlignment="1">
      <alignment horizontal="center" vertical="center" wrapText="1"/>
    </xf>
    <xf numFmtId="0" fontId="19" fillId="10" borderId="1" xfId="3" applyFont="1" applyFill="1" applyBorder="1" applyAlignment="1">
      <alignment horizontal="center" vertical="center" wrapText="1"/>
    </xf>
    <xf numFmtId="4" fontId="24" fillId="10" borderId="1" xfId="2" applyNumberFormat="1" applyFont="1" applyFill="1" applyBorder="1" applyAlignment="1">
      <alignment horizontal="center" vertical="center" wrapText="1"/>
    </xf>
    <xf numFmtId="3" fontId="17" fillId="10" borderId="4" xfId="2" applyNumberFormat="1" applyFont="1" applyFill="1" applyBorder="1" applyAlignment="1">
      <alignment horizontal="center" vertical="center" wrapText="1"/>
    </xf>
    <xf numFmtId="0" fontId="14" fillId="11" borderId="16" xfId="2" applyFont="1" applyFill="1" applyBorder="1" applyAlignment="1">
      <alignment horizontal="center" vertical="center" wrapText="1"/>
    </xf>
    <xf numFmtId="3" fontId="17" fillId="11" borderId="4" xfId="2" applyNumberFormat="1" applyFont="1" applyFill="1" applyBorder="1" applyAlignment="1">
      <alignment horizontal="center" vertical="center" wrapText="1"/>
    </xf>
    <xf numFmtId="3" fontId="17" fillId="10" borderId="5" xfId="2" applyNumberFormat="1" applyFont="1" applyFill="1" applyBorder="1" applyAlignment="1">
      <alignment horizontal="center" vertical="center" wrapText="1"/>
    </xf>
    <xf numFmtId="3" fontId="17" fillId="11" borderId="5" xfId="2" applyNumberFormat="1" applyFont="1" applyFill="1" applyBorder="1" applyAlignment="1">
      <alignment horizontal="center" vertical="center" wrapText="1"/>
    </xf>
    <xf numFmtId="3" fontId="17" fillId="4" borderId="4" xfId="2" applyNumberFormat="1" applyFont="1" applyFill="1" applyBorder="1" applyAlignment="1">
      <alignment horizontal="center" vertical="center" wrapText="1"/>
    </xf>
    <xf numFmtId="3" fontId="17" fillId="12" borderId="4" xfId="2" applyNumberFormat="1" applyFont="1" applyFill="1" applyBorder="1" applyAlignment="1">
      <alignment horizontal="center" vertical="center" wrapText="1"/>
    </xf>
    <xf numFmtId="3" fontId="17" fillId="12" borderId="5" xfId="2" applyNumberFormat="1" applyFont="1" applyFill="1" applyBorder="1" applyAlignment="1">
      <alignment horizontal="center" vertical="center" wrapText="1"/>
    </xf>
    <xf numFmtId="3" fontId="21" fillId="10" borderId="5" xfId="2" applyNumberFormat="1" applyFont="1" applyFill="1" applyBorder="1" applyAlignment="1">
      <alignment horizontal="center" vertical="center" wrapText="1"/>
    </xf>
    <xf numFmtId="3" fontId="22" fillId="10" borderId="5" xfId="2" applyNumberFormat="1" applyFont="1" applyFill="1" applyBorder="1" applyAlignment="1">
      <alignment horizontal="center" vertical="center" wrapText="1"/>
    </xf>
    <xf numFmtId="3" fontId="17" fillId="4" borderId="5" xfId="2" applyNumberFormat="1" applyFont="1" applyFill="1" applyBorder="1" applyAlignment="1">
      <alignment horizontal="center" vertical="center" wrapText="1"/>
    </xf>
    <xf numFmtId="3" fontId="21" fillId="4" borderId="5" xfId="2" applyNumberFormat="1" applyFont="1" applyFill="1" applyBorder="1" applyAlignment="1">
      <alignment horizontal="center" vertical="center" wrapText="1"/>
    </xf>
    <xf numFmtId="3" fontId="22" fillId="4" borderId="5" xfId="2" applyNumberFormat="1" applyFont="1" applyFill="1" applyBorder="1" applyAlignment="1">
      <alignment horizontal="center" vertical="center" wrapText="1"/>
    </xf>
    <xf numFmtId="3" fontId="21" fillId="4" borderId="4" xfId="2" applyNumberFormat="1" applyFont="1" applyFill="1" applyBorder="1" applyAlignment="1">
      <alignment horizontal="center" vertical="center" wrapText="1"/>
    </xf>
    <xf numFmtId="3" fontId="21" fillId="10" borderId="4" xfId="2" applyNumberFormat="1" applyFont="1" applyFill="1" applyBorder="1" applyAlignment="1">
      <alignment horizontal="center" vertical="center" wrapText="1"/>
    </xf>
    <xf numFmtId="3" fontId="22" fillId="4" borderId="4" xfId="2" applyNumberFormat="1" applyFont="1" applyFill="1" applyBorder="1" applyAlignment="1">
      <alignment horizontal="center" vertical="center" wrapText="1"/>
    </xf>
    <xf numFmtId="3" fontId="22" fillId="10" borderId="4" xfId="2" applyNumberFormat="1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5" borderId="1" xfId="2" applyFont="1" applyFill="1" applyBorder="1" applyAlignment="1">
      <alignment horizontal="center"/>
    </xf>
    <xf numFmtId="2" fontId="7" fillId="5" borderId="1" xfId="2" applyNumberFormat="1" applyFont="1" applyFill="1" applyBorder="1" applyAlignment="1">
      <alignment horizontal="center"/>
    </xf>
    <xf numFmtId="3" fontId="2" fillId="5" borderId="1" xfId="2" applyNumberFormat="1" applyFont="1" applyFill="1" applyBorder="1" applyAlignment="1">
      <alignment horizontal="center"/>
    </xf>
    <xf numFmtId="164" fontId="7" fillId="3" borderId="0" xfId="2" applyNumberFormat="1" applyFont="1" applyFill="1" applyAlignment="1">
      <alignment horizontal="center"/>
    </xf>
    <xf numFmtId="4" fontId="7" fillId="3" borderId="0" xfId="2" applyNumberFormat="1" applyFont="1" applyFill="1" applyAlignment="1">
      <alignment horizontal="center"/>
    </xf>
    <xf numFmtId="3" fontId="7" fillId="3" borderId="0" xfId="2" applyNumberFormat="1" applyFont="1" applyFill="1" applyAlignment="1">
      <alignment horizontal="center"/>
    </xf>
    <xf numFmtId="0" fontId="19" fillId="13" borderId="5" xfId="3" applyFont="1" applyFill="1" applyBorder="1" applyAlignment="1">
      <alignment horizontal="center" vertical="center" wrapText="1"/>
    </xf>
    <xf numFmtId="0" fontId="14" fillId="13" borderId="1" xfId="2" applyFont="1" applyFill="1" applyBorder="1" applyAlignment="1">
      <alignment horizontal="center" vertical="center" wrapText="1"/>
    </xf>
    <xf numFmtId="0" fontId="32" fillId="3" borderId="0" xfId="2" applyFont="1" applyFill="1"/>
    <xf numFmtId="0" fontId="33" fillId="3" borderId="0" xfId="2" applyFont="1" applyFill="1" applyAlignment="1">
      <alignment horizontal="center"/>
    </xf>
    <xf numFmtId="0" fontId="34" fillId="3" borderId="0" xfId="2" applyFont="1" applyFill="1" applyAlignment="1">
      <alignment horizontal="center" vertical="center"/>
    </xf>
    <xf numFmtId="0" fontId="34" fillId="3" borderId="1" xfId="2" applyFont="1" applyFill="1" applyBorder="1" applyAlignment="1">
      <alignment horizontal="center" vertical="center"/>
    </xf>
    <xf numFmtId="0" fontId="33" fillId="3" borderId="3" xfId="2" applyFont="1" applyFill="1" applyBorder="1" applyAlignment="1" applyProtection="1">
      <alignment horizontal="center" vertical="center" wrapText="1"/>
    </xf>
    <xf numFmtId="0" fontId="33" fillId="12" borderId="3" xfId="2" applyFont="1" applyFill="1" applyBorder="1" applyAlignment="1" applyProtection="1">
      <alignment horizontal="center" vertical="center" wrapText="1"/>
    </xf>
    <xf numFmtId="0" fontId="33" fillId="3" borderId="3" xfId="2" applyFont="1" applyFill="1" applyBorder="1" applyAlignment="1">
      <alignment horizontal="center"/>
    </xf>
    <xf numFmtId="0" fontId="33" fillId="3" borderId="3" xfId="2" applyFont="1" applyFill="1" applyBorder="1" applyAlignment="1">
      <alignment horizontal="center" vertical="center" wrapText="1"/>
    </xf>
    <xf numFmtId="0" fontId="35" fillId="7" borderId="3" xfId="2" applyFont="1" applyFill="1" applyBorder="1" applyAlignment="1">
      <alignment horizontal="center"/>
    </xf>
    <xf numFmtId="0" fontId="16" fillId="3" borderId="0" xfId="2" applyFont="1" applyFill="1"/>
    <xf numFmtId="0" fontId="38" fillId="3" borderId="0" xfId="2" applyFont="1" applyFill="1" applyAlignment="1">
      <alignment horizontal="center" vertical="center"/>
    </xf>
    <xf numFmtId="0" fontId="16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4" fontId="7" fillId="3" borderId="1" xfId="2" applyNumberFormat="1" applyFont="1" applyFill="1" applyBorder="1" applyAlignment="1">
      <alignment horizontal="center" vertical="center"/>
    </xf>
    <xf numFmtId="4" fontId="37" fillId="3" borderId="1" xfId="2" applyNumberFormat="1" applyFont="1" applyFill="1" applyBorder="1" applyAlignment="1">
      <alignment horizontal="center" vertical="center"/>
    </xf>
    <xf numFmtId="4" fontId="7" fillId="3" borderId="1" xfId="2" applyNumberFormat="1" applyFont="1" applyFill="1" applyBorder="1" applyAlignment="1">
      <alignment horizontal="center"/>
    </xf>
    <xf numFmtId="0" fontId="39" fillId="3" borderId="0" xfId="2" applyFont="1" applyFill="1" applyAlignment="1">
      <alignment horizontal="center" vertical="center"/>
    </xf>
    <xf numFmtId="0" fontId="39" fillId="2" borderId="17" xfId="2" applyFont="1" applyFill="1" applyBorder="1" applyAlignment="1">
      <alignment horizontal="center" vertical="center" wrapText="1"/>
    </xf>
    <xf numFmtId="0" fontId="36" fillId="3" borderId="1" xfId="2" applyFont="1" applyFill="1" applyBorder="1" applyAlignment="1">
      <alignment horizontal="center" vertical="center"/>
    </xf>
    <xf numFmtId="0" fontId="32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0" fontId="11" fillId="14" borderId="1" xfId="2" applyFont="1" applyFill="1" applyBorder="1" applyAlignment="1">
      <alignment horizontal="center" vertical="center" wrapText="1"/>
    </xf>
    <xf numFmtId="0" fontId="38" fillId="2" borderId="17" xfId="2" applyFont="1" applyFill="1" applyBorder="1" applyAlignment="1">
      <alignment horizontal="center" vertical="center" wrapText="1"/>
    </xf>
    <xf numFmtId="0" fontId="37" fillId="3" borderId="1" xfId="2" applyFont="1" applyFill="1" applyBorder="1" applyAlignment="1">
      <alignment horizontal="center" vertical="center"/>
    </xf>
    <xf numFmtId="3" fontId="37" fillId="3" borderId="1" xfId="2" applyNumberFormat="1" applyFont="1" applyFill="1" applyBorder="1" applyAlignment="1">
      <alignment horizontal="center" vertical="center"/>
    </xf>
    <xf numFmtId="3" fontId="24" fillId="4" borderId="1" xfId="2" applyNumberFormat="1" applyFont="1" applyFill="1" applyBorder="1" applyAlignment="1">
      <alignment horizontal="center" vertical="center" wrapText="1"/>
    </xf>
    <xf numFmtId="3" fontId="7" fillId="3" borderId="1" xfId="2" applyNumberFormat="1" applyFont="1" applyFill="1" applyBorder="1" applyAlignment="1">
      <alignment horizontal="center" vertical="center"/>
    </xf>
    <xf numFmtId="3" fontId="1" fillId="3" borderId="1" xfId="2" applyNumberFormat="1" applyFont="1" applyFill="1" applyBorder="1" applyAlignment="1">
      <alignment horizontal="center" vertical="center"/>
    </xf>
    <xf numFmtId="3" fontId="7" fillId="7" borderId="1" xfId="2" applyNumberFormat="1" applyFont="1" applyFill="1" applyBorder="1" applyAlignment="1">
      <alignment horizontal="center" vertical="center"/>
    </xf>
    <xf numFmtId="3" fontId="7" fillId="4" borderId="1" xfId="2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3" borderId="1" xfId="2" applyFont="1" applyFill="1" applyBorder="1" applyAlignment="1">
      <alignment horizontal="center" vertical="center" wrapText="1"/>
    </xf>
    <xf numFmtId="0" fontId="41" fillId="6" borderId="1" xfId="2" applyFont="1" applyFill="1" applyBorder="1" applyAlignment="1" applyProtection="1">
      <alignment horizontal="center" vertical="center" wrapText="1"/>
    </xf>
    <xf numFmtId="0" fontId="40" fillId="0" borderId="1" xfId="0" applyFont="1" applyBorder="1"/>
    <xf numFmtId="3" fontId="40" fillId="0" borderId="1" xfId="0" applyNumberFormat="1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center" vertical="center"/>
    </xf>
    <xf numFmtId="3" fontId="40" fillId="0" borderId="0" xfId="0" applyNumberFormat="1" applyFont="1"/>
    <xf numFmtId="0" fontId="42" fillId="0" borderId="1" xfId="14" applyFont="1" applyFill="1" applyBorder="1" applyAlignment="1">
      <alignment horizontal="center" vertical="center" wrapText="1"/>
    </xf>
    <xf numFmtId="3" fontId="19" fillId="10" borderId="5" xfId="3" applyNumberFormat="1" applyFont="1" applyFill="1" applyBorder="1" applyAlignment="1">
      <alignment horizontal="center" vertical="center" wrapText="1"/>
    </xf>
    <xf numFmtId="0" fontId="19" fillId="7" borderId="1" xfId="3" applyFont="1" applyFill="1" applyBorder="1" applyAlignment="1">
      <alignment horizontal="center" vertical="center" wrapText="1"/>
    </xf>
    <xf numFmtId="3" fontId="19" fillId="7" borderId="5" xfId="3" applyNumberFormat="1" applyFont="1" applyFill="1" applyBorder="1" applyAlignment="1">
      <alignment horizontal="center" vertical="center" wrapText="1"/>
    </xf>
    <xf numFmtId="3" fontId="19" fillId="2" borderId="5" xfId="3" applyNumberFormat="1" applyFont="1" applyFill="1" applyBorder="1" applyAlignment="1">
      <alignment horizontal="center" vertical="center" wrapText="1"/>
    </xf>
    <xf numFmtId="3" fontId="22" fillId="7" borderId="5" xfId="2" applyNumberFormat="1" applyFont="1" applyFill="1" applyBorder="1" applyAlignment="1">
      <alignment horizontal="center" vertical="center" wrapText="1"/>
    </xf>
    <xf numFmtId="3" fontId="17" fillId="7" borderId="5" xfId="2" applyNumberFormat="1" applyFont="1" applyFill="1" applyBorder="1" applyAlignment="1">
      <alignment horizontal="center" vertical="center" wrapText="1"/>
    </xf>
    <xf numFmtId="3" fontId="22" fillId="7" borderId="4" xfId="2" applyNumberFormat="1" applyFont="1" applyFill="1" applyBorder="1" applyAlignment="1">
      <alignment horizontal="center" vertical="center" wrapText="1"/>
    </xf>
    <xf numFmtId="3" fontId="17" fillId="7" borderId="4" xfId="2" applyNumberFormat="1" applyFont="1" applyFill="1" applyBorder="1" applyAlignment="1">
      <alignment horizontal="center" vertical="center" wrapText="1"/>
    </xf>
    <xf numFmtId="3" fontId="22" fillId="3" borderId="4" xfId="2" applyNumberFormat="1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/>
    </xf>
    <xf numFmtId="0" fontId="7" fillId="3" borderId="0" xfId="2" applyFont="1" applyFill="1" applyAlignment="1"/>
    <xf numFmtId="0" fontId="7" fillId="13" borderId="1" xfId="2" applyFont="1" applyFill="1" applyBorder="1" applyAlignment="1">
      <alignment horizontal="center" vertical="center"/>
    </xf>
    <xf numFmtId="0" fontId="7" fillId="15" borderId="1" xfId="2" applyFont="1" applyFill="1" applyBorder="1" applyAlignment="1">
      <alignment horizontal="center" vertical="center"/>
    </xf>
    <xf numFmtId="0" fontId="7" fillId="12" borderId="1" xfId="2" applyFont="1" applyFill="1" applyBorder="1" applyAlignment="1">
      <alignment horizontal="center" vertical="center"/>
    </xf>
    <xf numFmtId="4" fontId="26" fillId="3" borderId="1" xfId="2" applyNumberFormat="1" applyFont="1" applyFill="1" applyBorder="1" applyAlignment="1">
      <alignment horizontal="center" vertical="center"/>
    </xf>
    <xf numFmtId="0" fontId="7" fillId="10" borderId="0" xfId="2" applyFont="1" applyFill="1" applyAlignment="1">
      <alignment horizontal="center" vertical="center"/>
    </xf>
    <xf numFmtId="0" fontId="11" fillId="10" borderId="0" xfId="2" applyFont="1" applyFill="1" applyAlignment="1">
      <alignment horizontal="center" vertical="center"/>
    </xf>
    <xf numFmtId="0" fontId="11" fillId="10" borderId="1" xfId="2" applyFont="1" applyFill="1" applyBorder="1" applyAlignment="1">
      <alignment horizontal="center" vertical="center" wrapText="1"/>
    </xf>
    <xf numFmtId="4" fontId="7" fillId="10" borderId="1" xfId="2" applyNumberFormat="1" applyFont="1" applyFill="1" applyBorder="1" applyAlignment="1">
      <alignment horizontal="center" vertical="center"/>
    </xf>
    <xf numFmtId="4" fontId="26" fillId="10" borderId="1" xfId="2" applyNumberFormat="1" applyFont="1" applyFill="1" applyBorder="1" applyAlignment="1">
      <alignment horizontal="center" vertical="center"/>
    </xf>
    <xf numFmtId="3" fontId="7" fillId="10" borderId="0" xfId="2" applyNumberFormat="1" applyFont="1" applyFill="1"/>
    <xf numFmtId="4" fontId="9" fillId="3" borderId="1" xfId="2" applyNumberFormat="1" applyFont="1" applyFill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4" fontId="45" fillId="3" borderId="1" xfId="2" applyNumberFormat="1" applyFont="1" applyFill="1" applyBorder="1" applyAlignment="1">
      <alignment horizontal="center" vertical="center"/>
    </xf>
    <xf numFmtId="0" fontId="45" fillId="3" borderId="0" xfId="2" applyFont="1" applyFill="1"/>
    <xf numFmtId="0" fontId="19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" fontId="37" fillId="3" borderId="3" xfId="2" applyNumberFormat="1" applyFont="1" applyFill="1" applyBorder="1" applyAlignment="1">
      <alignment horizontal="center" vertical="center"/>
    </xf>
    <xf numFmtId="0" fontId="7" fillId="17" borderId="1" xfId="2" applyFont="1" applyFill="1" applyBorder="1"/>
    <xf numFmtId="0" fontId="11" fillId="17" borderId="1" xfId="2" applyFont="1" applyFill="1" applyBorder="1" applyAlignment="1">
      <alignment horizontal="center" vertical="center"/>
    </xf>
    <xf numFmtId="4" fontId="7" fillId="17" borderId="1" xfId="2" applyNumberFormat="1" applyFont="1" applyFill="1" applyBorder="1" applyAlignment="1">
      <alignment horizontal="center" vertical="center"/>
    </xf>
    <xf numFmtId="4" fontId="37" fillId="17" borderId="1" xfId="2" applyNumberFormat="1" applyFont="1" applyFill="1" applyBorder="1" applyAlignment="1">
      <alignment horizontal="center" vertical="center"/>
    </xf>
    <xf numFmtId="0" fontId="7" fillId="16" borderId="0" xfId="2" applyFont="1" applyFill="1"/>
    <xf numFmtId="0" fontId="11" fillId="16" borderId="1" xfId="2" applyFont="1" applyFill="1" applyBorder="1" applyAlignment="1">
      <alignment horizontal="center" vertical="center"/>
    </xf>
    <xf numFmtId="3" fontId="1" fillId="16" borderId="1" xfId="2" applyNumberFormat="1" applyFont="1" applyFill="1" applyBorder="1" applyAlignment="1">
      <alignment horizontal="center" vertical="center"/>
    </xf>
    <xf numFmtId="4" fontId="37" fillId="16" borderId="1" xfId="2" applyNumberFormat="1" applyFont="1" applyFill="1" applyBorder="1" applyAlignment="1">
      <alignment horizontal="center" vertical="center"/>
    </xf>
    <xf numFmtId="0" fontId="9" fillId="16" borderId="0" xfId="2" applyFont="1" applyFill="1" applyAlignment="1"/>
    <xf numFmtId="3" fontId="7" fillId="16" borderId="1" xfId="2" applyNumberFormat="1" applyFont="1" applyFill="1" applyBorder="1" applyAlignment="1">
      <alignment horizontal="center" vertical="center"/>
    </xf>
    <xf numFmtId="0" fontId="48" fillId="13" borderId="5" xfId="3" applyFont="1" applyFill="1" applyBorder="1" applyAlignment="1">
      <alignment horizontal="center" vertical="center" wrapText="1"/>
    </xf>
    <xf numFmtId="0" fontId="49" fillId="3" borderId="0" xfId="2" applyFont="1" applyFill="1" applyAlignment="1"/>
    <xf numFmtId="0" fontId="49" fillId="3" borderId="3" xfId="2" applyFont="1" applyFill="1" applyBorder="1" applyAlignment="1">
      <alignment horizontal="center"/>
    </xf>
    <xf numFmtId="0" fontId="50" fillId="3" borderId="1" xfId="2" applyFont="1" applyFill="1" applyBorder="1" applyAlignment="1">
      <alignment horizontal="center"/>
    </xf>
    <xf numFmtId="3" fontId="51" fillId="4" borderId="4" xfId="2" applyNumberFormat="1" applyFont="1" applyFill="1" applyBorder="1" applyAlignment="1">
      <alignment horizontal="center" vertical="center" wrapText="1"/>
    </xf>
    <xf numFmtId="3" fontId="51" fillId="11" borderId="4" xfId="2" applyNumberFormat="1" applyFont="1" applyFill="1" applyBorder="1" applyAlignment="1">
      <alignment horizontal="center" vertical="center" wrapText="1"/>
    </xf>
    <xf numFmtId="3" fontId="51" fillId="4" borderId="5" xfId="2" applyNumberFormat="1" applyFont="1" applyFill="1" applyBorder="1" applyAlignment="1">
      <alignment horizontal="center" vertical="center" wrapText="1"/>
    </xf>
    <xf numFmtId="3" fontId="51" fillId="12" borderId="5" xfId="2" applyNumberFormat="1" applyFont="1" applyFill="1" applyBorder="1" applyAlignment="1">
      <alignment horizontal="center" vertical="center" wrapText="1"/>
    </xf>
    <xf numFmtId="3" fontId="51" fillId="11" borderId="5" xfId="2" applyNumberFormat="1" applyFont="1" applyFill="1" applyBorder="1" applyAlignment="1">
      <alignment horizontal="center" vertical="center" wrapText="1"/>
    </xf>
    <xf numFmtId="0" fontId="49" fillId="4" borderId="1" xfId="3" applyFont="1" applyFill="1" applyBorder="1" applyAlignment="1">
      <alignment horizontal="center" vertical="center" wrapText="1"/>
    </xf>
    <xf numFmtId="0" fontId="49" fillId="10" borderId="1" xfId="3" applyFont="1" applyFill="1" applyBorder="1" applyAlignment="1">
      <alignment horizontal="center" vertical="center" wrapText="1"/>
    </xf>
    <xf numFmtId="3" fontId="49" fillId="10" borderId="5" xfId="3" applyNumberFormat="1" applyFont="1" applyFill="1" applyBorder="1" applyAlignment="1">
      <alignment horizontal="center" vertical="center" wrapText="1"/>
    </xf>
    <xf numFmtId="0" fontId="49" fillId="13" borderId="5" xfId="3" applyFont="1" applyFill="1" applyBorder="1" applyAlignment="1">
      <alignment horizontal="center" vertical="center" wrapText="1"/>
    </xf>
    <xf numFmtId="0" fontId="50" fillId="4" borderId="1" xfId="3" applyFont="1" applyFill="1" applyBorder="1" applyAlignment="1">
      <alignment horizontal="center" vertical="center" wrapText="1"/>
    </xf>
    <xf numFmtId="0" fontId="49" fillId="2" borderId="1" xfId="2" applyFont="1" applyFill="1" applyBorder="1" applyAlignment="1">
      <alignment horizontal="center"/>
    </xf>
    <xf numFmtId="165" fontId="49" fillId="5" borderId="1" xfId="2" applyNumberFormat="1" applyFont="1" applyFill="1" applyBorder="1" applyAlignment="1">
      <alignment horizontal="center" vertical="center"/>
    </xf>
    <xf numFmtId="0" fontId="49" fillId="5" borderId="1" xfId="2" applyFont="1" applyFill="1" applyBorder="1" applyAlignment="1">
      <alignment horizontal="center"/>
    </xf>
    <xf numFmtId="2" fontId="49" fillId="5" borderId="1" xfId="2" applyNumberFormat="1" applyFont="1" applyFill="1" applyBorder="1" applyAlignment="1">
      <alignment horizontal="center"/>
    </xf>
    <xf numFmtId="3" fontId="52" fillId="5" borderId="1" xfId="2" applyNumberFormat="1" applyFont="1" applyFill="1" applyBorder="1" applyAlignment="1">
      <alignment horizontal="center"/>
    </xf>
    <xf numFmtId="3" fontId="49" fillId="3" borderId="0" xfId="2" applyNumberFormat="1" applyFont="1" applyFill="1"/>
    <xf numFmtId="4" fontId="49" fillId="3" borderId="0" xfId="2" applyNumberFormat="1" applyFont="1" applyFill="1"/>
    <xf numFmtId="0" fontId="49" fillId="3" borderId="1" xfId="2" applyFont="1" applyFill="1" applyBorder="1" applyAlignment="1">
      <alignment horizontal="center" vertical="center"/>
    </xf>
    <xf numFmtId="0" fontId="49" fillId="15" borderId="1" xfId="2" applyFont="1" applyFill="1" applyBorder="1" applyAlignment="1">
      <alignment horizontal="center" vertical="center"/>
    </xf>
    <xf numFmtId="4" fontId="49" fillId="3" borderId="1" xfId="2" applyNumberFormat="1" applyFont="1" applyFill="1" applyBorder="1" applyAlignment="1">
      <alignment horizontal="center"/>
    </xf>
    <xf numFmtId="3" fontId="49" fillId="3" borderId="0" xfId="2" applyNumberFormat="1" applyFont="1" applyFill="1" applyAlignment="1">
      <alignment horizontal="center"/>
    </xf>
    <xf numFmtId="4" fontId="49" fillId="17" borderId="1" xfId="2" applyNumberFormat="1" applyFont="1" applyFill="1" applyBorder="1" applyAlignment="1">
      <alignment horizontal="center" vertical="center"/>
    </xf>
    <xf numFmtId="3" fontId="49" fillId="16" borderId="1" xfId="2" applyNumberFormat="1" applyFont="1" applyFill="1" applyBorder="1" applyAlignment="1">
      <alignment horizontal="center" vertical="center"/>
    </xf>
    <xf numFmtId="0" fontId="49" fillId="3" borderId="0" xfId="2" applyFont="1" applyFill="1"/>
    <xf numFmtId="3" fontId="51" fillId="7" borderId="5" xfId="2" applyNumberFormat="1" applyFont="1" applyFill="1" applyBorder="1" applyAlignment="1">
      <alignment horizontal="center" vertical="center" wrapText="1"/>
    </xf>
    <xf numFmtId="0" fontId="50" fillId="4" borderId="5" xfId="3" applyFont="1" applyFill="1" applyBorder="1" applyAlignment="1">
      <alignment horizontal="center" vertical="center" wrapText="1"/>
    </xf>
    <xf numFmtId="0" fontId="9" fillId="10" borderId="0" xfId="2" applyFont="1" applyFill="1" applyAlignment="1">
      <alignment horizontal="center" vertical="center"/>
    </xf>
    <xf numFmtId="0" fontId="13" fillId="10" borderId="0" xfId="2" applyFont="1" applyFill="1" applyAlignment="1">
      <alignment horizontal="center" vertical="center"/>
    </xf>
    <xf numFmtId="3" fontId="9" fillId="10" borderId="0" xfId="2" applyNumberFormat="1" applyFont="1" applyFill="1"/>
    <xf numFmtId="0" fontId="46" fillId="18" borderId="17" xfId="0" applyFont="1" applyFill="1" applyBorder="1" applyAlignment="1">
      <alignment horizontal="center" vertical="center"/>
    </xf>
    <xf numFmtId="4" fontId="45" fillId="18" borderId="1" xfId="2" applyNumberFormat="1" applyFont="1" applyFill="1" applyBorder="1" applyAlignment="1">
      <alignment horizontal="center" vertical="center"/>
    </xf>
    <xf numFmtId="4" fontId="51" fillId="18" borderId="1" xfId="2" applyNumberFormat="1" applyFont="1" applyFill="1" applyBorder="1" applyAlignment="1">
      <alignment horizontal="center" vertical="center"/>
    </xf>
    <xf numFmtId="0" fontId="13" fillId="10" borderId="16" xfId="2" applyFont="1" applyFill="1" applyBorder="1" applyAlignment="1">
      <alignment horizontal="center" vertical="center" wrapText="1"/>
    </xf>
    <xf numFmtId="4" fontId="9" fillId="10" borderId="16" xfId="2" applyNumberFormat="1" applyFont="1" applyFill="1" applyBorder="1" applyAlignment="1">
      <alignment horizontal="center" vertical="center"/>
    </xf>
    <xf numFmtId="4" fontId="50" fillId="10" borderId="16" xfId="2" applyNumberFormat="1" applyFont="1" applyFill="1" applyBorder="1" applyAlignment="1">
      <alignment horizontal="center" vertical="center"/>
    </xf>
    <xf numFmtId="4" fontId="26" fillId="10" borderId="16" xfId="2" applyNumberFormat="1" applyFont="1" applyFill="1" applyBorder="1" applyAlignment="1">
      <alignment horizontal="center" vertical="center"/>
    </xf>
    <xf numFmtId="0" fontId="46" fillId="18" borderId="23" xfId="0" applyFont="1" applyFill="1" applyBorder="1" applyAlignment="1">
      <alignment horizontal="center" vertical="center"/>
    </xf>
    <xf numFmtId="4" fontId="45" fillId="18" borderId="2" xfId="2" applyNumberFormat="1" applyFont="1" applyFill="1" applyBorder="1" applyAlignment="1">
      <alignment horizontal="center" vertical="center"/>
    </xf>
    <xf numFmtId="4" fontId="51" fillId="18" borderId="2" xfId="2" applyNumberFormat="1" applyFont="1" applyFill="1" applyBorder="1" applyAlignment="1">
      <alignment horizontal="center" vertical="center"/>
    </xf>
    <xf numFmtId="4" fontId="45" fillId="18" borderId="13" xfId="2" applyNumberFormat="1" applyFont="1" applyFill="1" applyBorder="1" applyAlignment="1">
      <alignment horizontal="center" vertical="center"/>
    </xf>
    <xf numFmtId="4" fontId="45" fillId="18" borderId="14" xfId="2" applyNumberFormat="1" applyFont="1" applyFill="1" applyBorder="1" applyAlignment="1">
      <alignment horizontal="center" vertical="center"/>
    </xf>
    <xf numFmtId="4" fontId="7" fillId="18" borderId="12" xfId="2" applyNumberFormat="1" applyFont="1" applyFill="1" applyBorder="1" applyAlignment="1">
      <alignment horizontal="center" vertical="center"/>
    </xf>
    <xf numFmtId="4" fontId="49" fillId="18" borderId="12" xfId="2" applyNumberFormat="1" applyFont="1" applyFill="1" applyBorder="1" applyAlignment="1">
      <alignment horizontal="center" vertical="center"/>
    </xf>
    <xf numFmtId="4" fontId="44" fillId="18" borderId="15" xfId="2" applyNumberFormat="1" applyFont="1" applyFill="1" applyBorder="1" applyAlignment="1">
      <alignment horizontal="center" vertical="center"/>
    </xf>
    <xf numFmtId="0" fontId="53" fillId="3" borderId="0" xfId="2" applyFont="1" applyFill="1"/>
    <xf numFmtId="0" fontId="54" fillId="3" borderId="0" xfId="2" applyFont="1" applyFill="1" applyAlignment="1">
      <alignment horizontal="center" vertical="center"/>
    </xf>
    <xf numFmtId="0" fontId="54" fillId="2" borderId="17" xfId="2" applyFont="1" applyFill="1" applyBorder="1" applyAlignment="1">
      <alignment horizontal="center" vertical="center" wrapText="1"/>
    </xf>
    <xf numFmtId="0" fontId="55" fillId="3" borderId="1" xfId="2" applyFont="1" applyFill="1" applyBorder="1" applyAlignment="1">
      <alignment horizontal="center" vertical="center"/>
    </xf>
    <xf numFmtId="0" fontId="53" fillId="3" borderId="1" xfId="2" applyFont="1" applyFill="1" applyBorder="1" applyAlignment="1">
      <alignment horizontal="center" vertical="center"/>
    </xf>
    <xf numFmtId="0" fontId="50" fillId="3" borderId="1" xfId="2" applyFont="1" applyFill="1" applyBorder="1" applyAlignment="1">
      <alignment horizontal="center" vertical="center"/>
    </xf>
    <xf numFmtId="4" fontId="47" fillId="3" borderId="1" xfId="2" applyNumberFormat="1" applyFont="1" applyFill="1" applyBorder="1" applyAlignment="1">
      <alignment horizontal="center" vertical="center"/>
    </xf>
    <xf numFmtId="4" fontId="47" fillId="17" borderId="1" xfId="2" applyNumberFormat="1" applyFont="1" applyFill="1" applyBorder="1" applyAlignment="1">
      <alignment horizontal="center" vertical="center"/>
    </xf>
    <xf numFmtId="3" fontId="43" fillId="16" borderId="1" xfId="2" applyNumberFormat="1" applyFont="1" applyFill="1" applyBorder="1" applyAlignment="1">
      <alignment horizontal="center" vertical="center"/>
    </xf>
    <xf numFmtId="3" fontId="7" fillId="18" borderId="1" xfId="2" applyNumberFormat="1" applyFont="1" applyFill="1" applyBorder="1" applyAlignment="1">
      <alignment horizontal="center" vertical="center"/>
    </xf>
    <xf numFmtId="4" fontId="9" fillId="10" borderId="0" xfId="2" applyNumberFormat="1" applyFont="1" applyFill="1" applyAlignment="1">
      <alignment horizontal="center" vertical="center"/>
    </xf>
    <xf numFmtId="9" fontId="7" fillId="3" borderId="0" xfId="2" applyNumberFormat="1" applyFont="1" applyFill="1"/>
    <xf numFmtId="0" fontId="35" fillId="3" borderId="3" xfId="2" applyFont="1" applyFill="1" applyBorder="1" applyAlignment="1">
      <alignment horizontal="center"/>
    </xf>
    <xf numFmtId="0" fontId="33" fillId="2" borderId="3" xfId="2" applyFont="1" applyFill="1" applyBorder="1" applyAlignment="1" applyProtection="1">
      <alignment horizontal="center" vertical="center" wrapText="1"/>
    </xf>
    <xf numFmtId="0" fontId="33" fillId="2" borderId="3" xfId="2" applyFont="1" applyFill="1" applyBorder="1" applyAlignment="1">
      <alignment horizontal="center"/>
    </xf>
    <xf numFmtId="167" fontId="7" fillId="3" borderId="0" xfId="2" applyNumberFormat="1" applyFont="1" applyFill="1"/>
    <xf numFmtId="0" fontId="53" fillId="5" borderId="0" xfId="2" applyFont="1" applyFill="1"/>
    <xf numFmtId="0" fontId="54" fillId="5" borderId="0" xfId="2" applyFont="1" applyFill="1" applyAlignment="1">
      <alignment horizontal="center" vertical="center"/>
    </xf>
    <xf numFmtId="0" fontId="55" fillId="5" borderId="1" xfId="2" applyFont="1" applyFill="1" applyBorder="1" applyAlignment="1">
      <alignment horizontal="center" vertical="center"/>
    </xf>
    <xf numFmtId="0" fontId="53" fillId="5" borderId="1" xfId="2" applyFont="1" applyFill="1" applyBorder="1" applyAlignment="1">
      <alignment horizontal="center" vertical="center"/>
    </xf>
    <xf numFmtId="0" fontId="53" fillId="5" borderId="1" xfId="2" applyFont="1" applyFill="1" applyBorder="1"/>
    <xf numFmtId="0" fontId="2" fillId="0" borderId="0" xfId="0" applyFont="1"/>
    <xf numFmtId="0" fontId="13" fillId="3" borderId="1" xfId="2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9" fillId="3" borderId="1" xfId="2" applyNumberFormat="1" applyFont="1" applyFill="1" applyBorder="1"/>
    <xf numFmtId="4" fontId="2" fillId="0" borderId="0" xfId="0" applyNumberFormat="1" applyFont="1"/>
    <xf numFmtId="0" fontId="47" fillId="3" borderId="0" xfId="2" applyFont="1" applyFill="1"/>
    <xf numFmtId="0" fontId="56" fillId="3" borderId="0" xfId="2" applyFont="1" applyFill="1" applyAlignment="1">
      <alignment horizontal="center" vertical="center"/>
    </xf>
    <xf numFmtId="0" fontId="56" fillId="3" borderId="1" xfId="2" applyFont="1" applyFill="1" applyBorder="1" applyAlignment="1">
      <alignment horizontal="center" vertical="center"/>
    </xf>
    <xf numFmtId="4" fontId="47" fillId="3" borderId="1" xfId="2" applyNumberFormat="1" applyFont="1" applyFill="1" applyBorder="1"/>
    <xf numFmtId="4" fontId="57" fillId="3" borderId="1" xfId="2" applyNumberFormat="1" applyFont="1" applyFill="1" applyBorder="1" applyAlignment="1">
      <alignment horizontal="center" vertical="center"/>
    </xf>
    <xf numFmtId="4" fontId="47" fillId="3" borderId="0" xfId="2" applyNumberFormat="1" applyFont="1" applyFill="1"/>
    <xf numFmtId="0" fontId="7" fillId="5" borderId="0" xfId="2" applyFont="1" applyFill="1"/>
    <xf numFmtId="0" fontId="47" fillId="5" borderId="0" xfId="2" applyFont="1" applyFill="1"/>
    <xf numFmtId="0" fontId="11" fillId="5" borderId="0" xfId="2" applyFont="1" applyFill="1" applyAlignment="1">
      <alignment horizontal="center" vertical="center"/>
    </xf>
    <xf numFmtId="0" fontId="56" fillId="5" borderId="0" xfId="2" applyFont="1" applyFill="1" applyAlignment="1">
      <alignment horizontal="center" vertical="center"/>
    </xf>
    <xf numFmtId="4" fontId="7" fillId="5" borderId="1" xfId="2" applyNumberFormat="1" applyFont="1" applyFill="1" applyBorder="1"/>
    <xf numFmtId="0" fontId="58" fillId="3" borderId="0" xfId="2" applyFont="1" applyFill="1"/>
    <xf numFmtId="0" fontId="59" fillId="3" borderId="0" xfId="2" applyFont="1" applyFill="1" applyAlignment="1">
      <alignment horizontal="center" vertical="center"/>
    </xf>
    <xf numFmtId="0" fontId="59" fillId="3" borderId="3" xfId="2" applyFont="1" applyFill="1" applyBorder="1" applyAlignment="1">
      <alignment horizontal="center" vertical="center"/>
    </xf>
    <xf numFmtId="0" fontId="58" fillId="3" borderId="3" xfId="2" applyFont="1" applyFill="1" applyBorder="1"/>
    <xf numFmtId="0" fontId="11" fillId="3" borderId="16" xfId="2" applyFont="1" applyFill="1" applyBorder="1" applyAlignment="1">
      <alignment horizontal="center" vertical="center"/>
    </xf>
    <xf numFmtId="4" fontId="7" fillId="3" borderId="16" xfId="2" applyNumberFormat="1" applyFont="1" applyFill="1" applyBorder="1"/>
    <xf numFmtId="4" fontId="37" fillId="3" borderId="16" xfId="2" applyNumberFormat="1" applyFont="1" applyFill="1" applyBorder="1" applyAlignment="1">
      <alignment horizontal="center" vertical="center"/>
    </xf>
    <xf numFmtId="0" fontId="11" fillId="5" borderId="19" xfId="2" applyFont="1" applyFill="1" applyBorder="1" applyAlignment="1">
      <alignment horizontal="center" vertical="center" wrapText="1"/>
    </xf>
    <xf numFmtId="0" fontId="11" fillId="5" borderId="20" xfId="2" applyFont="1" applyFill="1" applyBorder="1" applyAlignment="1">
      <alignment horizontal="center" vertical="center"/>
    </xf>
    <xf numFmtId="0" fontId="56" fillId="5" borderId="24" xfId="2" applyFont="1" applyFill="1" applyBorder="1" applyAlignment="1">
      <alignment horizontal="center" vertical="center" wrapText="1"/>
    </xf>
    <xf numFmtId="4" fontId="47" fillId="5" borderId="12" xfId="2" applyNumberFormat="1" applyFont="1" applyFill="1" applyBorder="1"/>
    <xf numFmtId="4" fontId="37" fillId="5" borderId="14" xfId="2" applyNumberFormat="1" applyFont="1" applyFill="1" applyBorder="1" applyAlignment="1">
      <alignment horizontal="center" vertical="center"/>
    </xf>
    <xf numFmtId="4" fontId="57" fillId="5" borderId="15" xfId="2" applyNumberFormat="1" applyFont="1" applyFill="1" applyBorder="1" applyAlignment="1">
      <alignment horizontal="center" vertical="center"/>
    </xf>
    <xf numFmtId="4" fontId="7" fillId="2" borderId="1" xfId="2" applyNumberFormat="1" applyFont="1" applyFill="1" applyBorder="1" applyAlignment="1">
      <alignment horizontal="center" vertical="center"/>
    </xf>
    <xf numFmtId="4" fontId="7" fillId="2" borderId="0" xfId="2" applyNumberFormat="1" applyFont="1" applyFill="1"/>
    <xf numFmtId="0" fontId="60" fillId="16" borderId="0" xfId="2" applyFont="1" applyFill="1" applyAlignment="1"/>
    <xf numFmtId="0" fontId="61" fillId="16" borderId="0" xfId="2" applyFont="1" applyFill="1"/>
    <xf numFmtId="0" fontId="62" fillId="16" borderId="1" xfId="2" applyFont="1" applyFill="1" applyBorder="1" applyAlignment="1">
      <alignment horizontal="center" vertical="center"/>
    </xf>
    <xf numFmtId="3" fontId="63" fillId="16" borderId="1" xfId="2" applyNumberFormat="1" applyFont="1" applyFill="1" applyBorder="1" applyAlignment="1">
      <alignment horizontal="center" vertical="center"/>
    </xf>
    <xf numFmtId="3" fontId="61" fillId="16" borderId="1" xfId="2" applyNumberFormat="1" applyFont="1" applyFill="1" applyBorder="1" applyAlignment="1">
      <alignment horizontal="center" vertical="center"/>
    </xf>
    <xf numFmtId="3" fontId="64" fillId="16" borderId="1" xfId="2" applyNumberFormat="1" applyFont="1" applyFill="1" applyBorder="1" applyAlignment="1">
      <alignment horizontal="center" vertical="center"/>
    </xf>
    <xf numFmtId="4" fontId="65" fillId="16" borderId="1" xfId="2" applyNumberFormat="1" applyFont="1" applyFill="1" applyBorder="1" applyAlignment="1">
      <alignment horizontal="center" vertical="center"/>
    </xf>
    <xf numFmtId="0" fontId="61" fillId="3" borderId="0" xfId="2" applyFont="1" applyFill="1"/>
    <xf numFmtId="0" fontId="61" fillId="12" borderId="0" xfId="2" applyFont="1" applyFill="1" applyBorder="1" applyAlignment="1">
      <alignment horizontal="center" vertical="center"/>
    </xf>
    <xf numFmtId="3" fontId="61" fillId="12" borderId="0" xfId="2" applyNumberFormat="1" applyFont="1" applyFill="1" applyBorder="1" applyAlignment="1">
      <alignment horizontal="center" vertical="center"/>
    </xf>
    <xf numFmtId="4" fontId="65" fillId="12" borderId="0" xfId="2" applyNumberFormat="1" applyFont="1" applyFill="1" applyBorder="1" applyAlignment="1">
      <alignment horizontal="center" vertical="center"/>
    </xf>
    <xf numFmtId="0" fontId="61" fillId="12" borderId="0" xfId="2" applyFont="1" applyFill="1"/>
    <xf numFmtId="0" fontId="0" fillId="12" borderId="0" xfId="0" applyFill="1"/>
    <xf numFmtId="0" fontId="11" fillId="12" borderId="0" xfId="2" applyFont="1" applyFill="1" applyAlignment="1">
      <alignment horizontal="center" vertical="center"/>
    </xf>
    <xf numFmtId="0" fontId="49" fillId="12" borderId="0" xfId="2" applyFont="1" applyFill="1"/>
    <xf numFmtId="4" fontId="8" fillId="3" borderId="0" xfId="2" applyNumberFormat="1" applyFont="1" applyFill="1"/>
    <xf numFmtId="4" fontId="25" fillId="3" borderId="1" xfId="2" applyNumberFormat="1" applyFont="1" applyFill="1" applyBorder="1" applyAlignment="1">
      <alignment horizontal="center" vertical="center"/>
    </xf>
    <xf numFmtId="0" fontId="38" fillId="2" borderId="25" xfId="2" applyFont="1" applyFill="1" applyBorder="1" applyAlignment="1">
      <alignment horizontal="center" vertical="center" wrapText="1"/>
    </xf>
    <xf numFmtId="0" fontId="16" fillId="3" borderId="3" xfId="2" applyFont="1" applyFill="1" applyBorder="1" applyAlignment="1">
      <alignment horizontal="center" vertical="center"/>
    </xf>
    <xf numFmtId="0" fontId="49" fillId="3" borderId="3" xfId="2" applyFont="1" applyFill="1" applyBorder="1" applyAlignment="1">
      <alignment horizontal="center" vertical="center"/>
    </xf>
    <xf numFmtId="0" fontId="37" fillId="3" borderId="3" xfId="2" applyFont="1" applyFill="1" applyBorder="1" applyAlignment="1">
      <alignment horizontal="center" vertical="center"/>
    </xf>
    <xf numFmtId="0" fontId="11" fillId="14" borderId="16" xfId="2" applyFont="1" applyFill="1" applyBorder="1" applyAlignment="1">
      <alignment horizontal="center" vertical="center" wrapText="1"/>
    </xf>
    <xf numFmtId="4" fontId="7" fillId="3" borderId="16" xfId="2" applyNumberFormat="1" applyFont="1" applyFill="1" applyBorder="1" applyAlignment="1">
      <alignment horizontal="center" vertical="center"/>
    </xf>
    <xf numFmtId="4" fontId="37" fillId="17" borderId="16" xfId="2" applyNumberFormat="1" applyFont="1" applyFill="1" applyBorder="1" applyAlignment="1">
      <alignment horizontal="center" vertical="center"/>
    </xf>
    <xf numFmtId="0" fontId="39" fillId="2" borderId="26" xfId="2" applyFont="1" applyFill="1" applyBorder="1" applyAlignment="1">
      <alignment horizontal="center" vertical="center" wrapText="1"/>
    </xf>
    <xf numFmtId="0" fontId="54" fillId="2" borderId="27" xfId="2" applyFont="1" applyFill="1" applyBorder="1" applyAlignment="1">
      <alignment horizontal="center" vertical="center" wrapText="1"/>
    </xf>
    <xf numFmtId="0" fontId="54" fillId="5" borderId="27" xfId="2" applyFont="1" applyFill="1" applyBorder="1" applyAlignment="1">
      <alignment horizontal="center" vertical="center" wrapText="1"/>
    </xf>
    <xf numFmtId="0" fontId="54" fillId="5" borderId="21" xfId="2" applyFont="1" applyFill="1" applyBorder="1" applyAlignment="1">
      <alignment horizontal="center" vertical="center" wrapText="1"/>
    </xf>
    <xf numFmtId="0" fontId="7" fillId="15" borderId="2" xfId="2" applyFont="1" applyFill="1" applyBorder="1" applyAlignment="1">
      <alignment horizontal="center" vertical="center"/>
    </xf>
    <xf numFmtId="0" fontId="55" fillId="5" borderId="12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/>
    </xf>
    <xf numFmtId="0" fontId="19" fillId="2" borderId="2" xfId="2" applyFont="1" applyFill="1" applyBorder="1" applyAlignment="1">
      <alignment horizontal="center" vertical="center"/>
    </xf>
    <xf numFmtId="0" fontId="53" fillId="5" borderId="12" xfId="2" applyFont="1" applyFill="1" applyBorder="1"/>
    <xf numFmtId="0" fontId="53" fillId="5" borderId="12" xfId="2" applyFont="1" applyFill="1" applyBorder="1" applyAlignment="1">
      <alignment horizontal="center" vertical="center"/>
    </xf>
    <xf numFmtId="4" fontId="37" fillId="17" borderId="13" xfId="2" applyNumberFormat="1" applyFont="1" applyFill="1" applyBorder="1" applyAlignment="1">
      <alignment horizontal="center" vertical="center"/>
    </xf>
    <xf numFmtId="4" fontId="37" fillId="17" borderId="14" xfId="2" applyNumberFormat="1" applyFont="1" applyFill="1" applyBorder="1" applyAlignment="1">
      <alignment horizontal="center" vertical="center"/>
    </xf>
    <xf numFmtId="4" fontId="37" fillId="17" borderId="15" xfId="2" applyNumberFormat="1" applyFont="1" applyFill="1" applyBorder="1" applyAlignment="1">
      <alignment horizontal="center" vertical="center"/>
    </xf>
    <xf numFmtId="4" fontId="7" fillId="2" borderId="16" xfId="2" applyNumberFormat="1" applyFont="1" applyFill="1" applyBorder="1"/>
    <xf numFmtId="2" fontId="7" fillId="5" borderId="2" xfId="2" applyNumberFormat="1" applyFont="1" applyFill="1" applyBorder="1"/>
    <xf numFmtId="2" fontId="7" fillId="8" borderId="2" xfId="2" applyNumberFormat="1" applyFont="1" applyFill="1" applyBorder="1"/>
    <xf numFmtId="2" fontId="37" fillId="5" borderId="13" xfId="2" applyNumberFormat="1" applyFont="1" applyFill="1" applyBorder="1" applyAlignment="1">
      <alignment horizontal="center" vertical="center"/>
    </xf>
    <xf numFmtId="4" fontId="7" fillId="5" borderId="0" xfId="2" applyNumberFormat="1" applyFont="1" applyFill="1"/>
    <xf numFmtId="4" fontId="47" fillId="5" borderId="0" xfId="2" applyNumberFormat="1" applyFont="1" applyFill="1"/>
    <xf numFmtId="4" fontId="47" fillId="2" borderId="1" xfId="2" applyNumberFormat="1" applyFont="1" applyFill="1" applyBorder="1"/>
    <xf numFmtId="0" fontId="11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/>
    <xf numFmtId="3" fontId="0" fillId="0" borderId="0" xfId="0" applyNumberFormat="1"/>
    <xf numFmtId="3" fontId="2" fillId="0" borderId="0" xfId="0" applyNumberFormat="1" applyFont="1"/>
    <xf numFmtId="0" fontId="0" fillId="3" borderId="0" xfId="0" applyFill="1"/>
    <xf numFmtId="0" fontId="0" fillId="3" borderId="2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20" borderId="2" xfId="0" applyFont="1" applyFill="1" applyBorder="1" applyAlignment="1">
      <alignment horizontal="center"/>
    </xf>
    <xf numFmtId="0" fontId="0" fillId="20" borderId="1" xfId="0" applyFont="1" applyFill="1" applyBorder="1" applyAlignment="1">
      <alignment horizontal="center"/>
    </xf>
    <xf numFmtId="0" fontId="0" fillId="20" borderId="3" xfId="0" applyFont="1" applyFill="1" applyBorder="1" applyAlignment="1">
      <alignment horizontal="center"/>
    </xf>
    <xf numFmtId="0" fontId="0" fillId="20" borderId="12" xfId="0" applyFont="1" applyFill="1" applyBorder="1" applyAlignment="1">
      <alignment horizontal="center"/>
    </xf>
    <xf numFmtId="0" fontId="0" fillId="20" borderId="2" xfId="0" applyFont="1" applyFill="1" applyBorder="1"/>
    <xf numFmtId="0" fontId="0" fillId="20" borderId="1" xfId="0" applyFont="1" applyFill="1" applyBorder="1"/>
    <xf numFmtId="0" fontId="0" fillId="20" borderId="3" xfId="0" applyFont="1" applyFill="1" applyBorder="1"/>
    <xf numFmtId="0" fontId="0" fillId="20" borderId="14" xfId="0" applyFont="1" applyFill="1" applyBorder="1"/>
    <xf numFmtId="0" fontId="0" fillId="20" borderId="32" xfId="0" applyFont="1" applyFill="1" applyBorder="1"/>
    <xf numFmtId="0" fontId="66" fillId="0" borderId="0" xfId="0" applyFont="1"/>
    <xf numFmtId="3" fontId="67" fillId="0" borderId="0" xfId="0" applyNumberFormat="1" applyFont="1"/>
    <xf numFmtId="0" fontId="67" fillId="0" borderId="0" xfId="0" applyFont="1"/>
    <xf numFmtId="3" fontId="0" fillId="20" borderId="2" xfId="0" applyNumberFormat="1" applyFont="1" applyFill="1" applyBorder="1"/>
    <xf numFmtId="3" fontId="0" fillId="20" borderId="1" xfId="0" applyNumberFormat="1" applyFont="1" applyFill="1" applyBorder="1"/>
    <xf numFmtId="3" fontId="0" fillId="20" borderId="12" xfId="0" applyNumberFormat="1" applyFont="1" applyFill="1" applyBorder="1"/>
    <xf numFmtId="3" fontId="0" fillId="20" borderId="13" xfId="0" applyNumberFormat="1" applyFont="1" applyFill="1" applyBorder="1"/>
    <xf numFmtId="3" fontId="0" fillId="20" borderId="14" xfId="0" applyNumberFormat="1" applyFont="1" applyFill="1" applyBorder="1"/>
    <xf numFmtId="3" fontId="0" fillId="20" borderId="15" xfId="0" applyNumberFormat="1" applyFont="1" applyFill="1" applyBorder="1"/>
    <xf numFmtId="0" fontId="0" fillId="0" borderId="28" xfId="0" applyBorder="1"/>
    <xf numFmtId="0" fontId="0" fillId="0" borderId="0" xfId="0" applyBorder="1"/>
    <xf numFmtId="4" fontId="0" fillId="0" borderId="5" xfId="0" applyNumberFormat="1" applyBorder="1" applyAlignment="1">
      <alignment wrapText="1"/>
    </xf>
    <xf numFmtId="0" fontId="0" fillId="3" borderId="1" xfId="0" applyFill="1" applyBorder="1"/>
    <xf numFmtId="0" fontId="0" fillId="3" borderId="2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4" fontId="0" fillId="0" borderId="28" xfId="0" applyNumberFormat="1" applyBorder="1" applyAlignment="1">
      <alignment wrapText="1"/>
    </xf>
    <xf numFmtId="0" fontId="0" fillId="20" borderId="31" xfId="0" applyFont="1" applyFill="1" applyBorder="1" applyAlignment="1">
      <alignment horizontal="center"/>
    </xf>
    <xf numFmtId="0" fontId="0" fillId="20" borderId="33" xfId="0" applyFont="1" applyFill="1" applyBorder="1" applyAlignment="1">
      <alignment horizontal="center"/>
    </xf>
    <xf numFmtId="0" fontId="0" fillId="20" borderId="33" xfId="0" applyFont="1" applyFill="1" applyBorder="1"/>
    <xf numFmtId="0" fontId="2" fillId="20" borderId="13" xfId="0" applyFont="1" applyFill="1" applyBorder="1"/>
    <xf numFmtId="0" fontId="0" fillId="20" borderId="34" xfId="0" applyFont="1" applyFill="1" applyBorder="1"/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7" fillId="0" borderId="0" xfId="2" applyFont="1" applyFill="1"/>
    <xf numFmtId="0" fontId="9" fillId="3" borderId="0" xfId="2" applyFont="1" applyFill="1" applyAlignment="1">
      <alignment horizontal="center"/>
    </xf>
    <xf numFmtId="4" fontId="24" fillId="3" borderId="1" xfId="2" applyNumberFormat="1" applyFont="1" applyFill="1" applyBorder="1" applyAlignment="1">
      <alignment horizontal="center" vertical="center" wrapText="1"/>
    </xf>
    <xf numFmtId="0" fontId="14" fillId="21" borderId="2" xfId="2" applyFont="1" applyFill="1" applyBorder="1" applyAlignment="1">
      <alignment horizontal="center" vertical="center" wrapText="1"/>
    </xf>
    <xf numFmtId="0" fontId="14" fillId="21" borderId="1" xfId="2" applyFont="1" applyFill="1" applyBorder="1" applyAlignment="1">
      <alignment horizontal="center" vertical="center" wrapText="1"/>
    </xf>
    <xf numFmtId="3" fontId="17" fillId="21" borderId="4" xfId="2" applyNumberFormat="1" applyFont="1" applyFill="1" applyBorder="1" applyAlignment="1">
      <alignment horizontal="center" vertical="center" wrapText="1"/>
    </xf>
    <xf numFmtId="3" fontId="17" fillId="21" borderId="5" xfId="2" applyNumberFormat="1" applyFont="1" applyFill="1" applyBorder="1" applyAlignment="1">
      <alignment horizontal="center" vertical="center" wrapText="1"/>
    </xf>
    <xf numFmtId="3" fontId="21" fillId="21" borderId="4" xfId="2" applyNumberFormat="1" applyFont="1" applyFill="1" applyBorder="1" applyAlignment="1">
      <alignment horizontal="center" vertical="center" wrapText="1"/>
    </xf>
    <xf numFmtId="3" fontId="21" fillId="21" borderId="5" xfId="2" applyNumberFormat="1" applyFont="1" applyFill="1" applyBorder="1" applyAlignment="1">
      <alignment horizontal="center" vertical="center" wrapText="1"/>
    </xf>
    <xf numFmtId="3" fontId="22" fillId="21" borderId="4" xfId="2" applyNumberFormat="1" applyFont="1" applyFill="1" applyBorder="1" applyAlignment="1">
      <alignment horizontal="center" vertical="center" wrapText="1"/>
    </xf>
    <xf numFmtId="3" fontId="22" fillId="21" borderId="5" xfId="2" applyNumberFormat="1" applyFont="1" applyFill="1" applyBorder="1" applyAlignment="1">
      <alignment horizontal="center" vertical="center" wrapText="1"/>
    </xf>
    <xf numFmtId="4" fontId="24" fillId="21" borderId="16" xfId="2" applyNumberFormat="1" applyFont="1" applyFill="1" applyBorder="1" applyAlignment="1">
      <alignment horizontal="center" vertical="center" wrapText="1"/>
    </xf>
    <xf numFmtId="4" fontId="24" fillId="21" borderId="1" xfId="2" applyNumberFormat="1" applyFont="1" applyFill="1" applyBorder="1" applyAlignment="1">
      <alignment horizontal="center" vertical="center" wrapText="1"/>
    </xf>
    <xf numFmtId="0" fontId="13" fillId="21" borderId="16" xfId="2" applyFont="1" applyFill="1" applyBorder="1" applyAlignment="1">
      <alignment horizontal="center" vertical="center" wrapText="1"/>
    </xf>
    <xf numFmtId="4" fontId="26" fillId="21" borderId="16" xfId="2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 applyProtection="1">
      <alignment horizontal="center" vertical="center" wrapText="1"/>
    </xf>
    <xf numFmtId="0" fontId="19" fillId="3" borderId="1" xfId="2" applyFont="1" applyFill="1" applyBorder="1" applyAlignment="1">
      <alignment horizontal="center"/>
    </xf>
    <xf numFmtId="0" fontId="19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3" fontId="7" fillId="3" borderId="5" xfId="3" applyNumberFormat="1" applyFont="1" applyFill="1" applyBorder="1" applyAlignment="1">
      <alignment horizontal="center" vertical="center" wrapText="1"/>
    </xf>
    <xf numFmtId="3" fontId="7" fillId="11" borderId="5" xfId="3" applyNumberFormat="1" applyFont="1" applyFill="1" applyBorder="1" applyAlignment="1">
      <alignment horizontal="center" vertical="center" wrapText="1"/>
    </xf>
    <xf numFmtId="4" fontId="70" fillId="3" borderId="1" xfId="2" applyNumberFormat="1" applyFont="1" applyFill="1" applyBorder="1" applyAlignment="1">
      <alignment horizontal="center" vertical="center" wrapText="1"/>
    </xf>
    <xf numFmtId="0" fontId="58" fillId="3" borderId="0" xfId="2" applyFont="1" applyFill="1" applyAlignment="1">
      <alignment horizontal="center"/>
    </xf>
    <xf numFmtId="0" fontId="59" fillId="3" borderId="1" xfId="2" applyFont="1" applyFill="1" applyBorder="1" applyAlignment="1">
      <alignment horizontal="center" vertical="center" wrapText="1"/>
    </xf>
    <xf numFmtId="4" fontId="58" fillId="3" borderId="0" xfId="2" applyNumberFormat="1" applyFont="1" applyFill="1" applyAlignment="1">
      <alignment horizontal="center"/>
    </xf>
    <xf numFmtId="0" fontId="71" fillId="3" borderId="0" xfId="2" applyFont="1" applyFill="1" applyAlignment="1">
      <alignment horizontal="center" vertical="center"/>
    </xf>
    <xf numFmtId="4" fontId="9" fillId="3" borderId="1" xfId="3" applyNumberFormat="1" applyFont="1" applyFill="1" applyBorder="1" applyAlignment="1">
      <alignment horizontal="center" vertical="center" wrapText="1"/>
    </xf>
    <xf numFmtId="4" fontId="26" fillId="3" borderId="1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 applyProtection="1">
      <alignment horizontal="center" vertical="center" wrapText="1"/>
    </xf>
    <xf numFmtId="0" fontId="11" fillId="3" borderId="1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/>
    </xf>
    <xf numFmtId="0" fontId="6" fillId="0" borderId="0" xfId="2" applyAlignment="1">
      <alignment horizontal="center"/>
    </xf>
    <xf numFmtId="2" fontId="71" fillId="0" borderId="0" xfId="2" applyNumberFormat="1" applyFont="1" applyFill="1" applyAlignment="1">
      <alignment horizontal="center" vertical="center"/>
    </xf>
    <xf numFmtId="2" fontId="71" fillId="3" borderId="0" xfId="2" applyNumberFormat="1" applyFont="1" applyFill="1" applyAlignment="1">
      <alignment horizontal="center" vertical="center"/>
    </xf>
    <xf numFmtId="3" fontId="19" fillId="3" borderId="5" xfId="3" applyNumberFormat="1" applyFont="1" applyFill="1" applyBorder="1" applyAlignment="1">
      <alignment horizontal="center" vertical="center" wrapText="1"/>
    </xf>
    <xf numFmtId="4" fontId="9" fillId="10" borderId="1" xfId="3" applyNumberFormat="1" applyFont="1" applyFill="1" applyBorder="1" applyAlignment="1">
      <alignment horizontal="center" vertical="center" wrapText="1"/>
    </xf>
    <xf numFmtId="0" fontId="19" fillId="3" borderId="0" xfId="2" applyFont="1" applyFill="1"/>
    <xf numFmtId="2" fontId="72" fillId="3" borderId="0" xfId="2" applyNumberFormat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wrapText="1"/>
    </xf>
    <xf numFmtId="4" fontId="3" fillId="0" borderId="1" xfId="1" applyNumberFormat="1" applyFont="1" applyFill="1" applyBorder="1" applyAlignment="1">
      <alignment horizontal="right" wrapText="1"/>
    </xf>
    <xf numFmtId="4" fontId="3" fillId="0" borderId="1" xfId="15" applyNumberFormat="1" applyFont="1" applyFill="1" applyBorder="1" applyAlignment="1">
      <alignment horizontal="right" wrapText="1"/>
    </xf>
    <xf numFmtId="0" fontId="3" fillId="19" borderId="1" xfId="1" applyFont="1" applyFill="1" applyBorder="1" applyAlignment="1">
      <alignment horizontal="center" wrapText="1"/>
    </xf>
    <xf numFmtId="0" fontId="3" fillId="19" borderId="1" xfId="15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35" xfId="1" applyFont="1" applyFill="1" applyBorder="1" applyAlignment="1">
      <alignment horizontal="center" wrapText="1"/>
    </xf>
    <xf numFmtId="4" fontId="3" fillId="0" borderId="35" xfId="1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/>
    <xf numFmtId="0" fontId="3" fillId="22" borderId="1" xfId="16" applyFont="1" applyFill="1" applyBorder="1" applyAlignment="1">
      <alignment horizontal="center" wrapText="1"/>
    </xf>
    <xf numFmtId="0" fontId="3" fillId="22" borderId="1" xfId="17" applyFont="1" applyFill="1" applyBorder="1" applyAlignment="1">
      <alignment horizontal="center" wrapText="1"/>
    </xf>
    <xf numFmtId="4" fontId="3" fillId="21" borderId="1" xfId="16" applyNumberFormat="1" applyFont="1" applyFill="1" applyBorder="1" applyAlignment="1">
      <alignment horizontal="right" wrapText="1"/>
    </xf>
    <xf numFmtId="4" fontId="3" fillId="21" borderId="1" xfId="17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43" fillId="0" borderId="1" xfId="0" applyFont="1" applyBorder="1" applyAlignment="1">
      <alignment horizontal="center"/>
    </xf>
    <xf numFmtId="4" fontId="3" fillId="0" borderId="1" xfId="17" applyNumberFormat="1" applyFont="1" applyFill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0" fontId="6" fillId="0" borderId="0" xfId="2" applyAlignment="1">
      <alignment horizontal="right"/>
    </xf>
    <xf numFmtId="0" fontId="6" fillId="0" borderId="0" xfId="2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74" fillId="0" borderId="0" xfId="2" applyFont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4" fontId="6" fillId="0" borderId="1" xfId="2" applyNumberFormat="1" applyBorder="1" applyAlignment="1">
      <alignment horizontal="center" vertical="center" wrapText="1"/>
    </xf>
    <xf numFmtId="0" fontId="6" fillId="0" borderId="1" xfId="2" applyBorder="1" applyAlignment="1">
      <alignment vertical="center" wrapText="1"/>
    </xf>
    <xf numFmtId="0" fontId="6" fillId="0" borderId="0" xfId="2" applyAlignment="1">
      <alignment vertical="center"/>
    </xf>
    <xf numFmtId="4" fontId="74" fillId="0" borderId="0" xfId="2" applyNumberFormat="1" applyFont="1"/>
    <xf numFmtId="4" fontId="6" fillId="0" borderId="1" xfId="2" applyNumberFormat="1" applyBorder="1" applyAlignment="1">
      <alignment horizontal="center" vertical="center"/>
    </xf>
    <xf numFmtId="4" fontId="0" fillId="7" borderId="1" xfId="0" applyNumberFormat="1" applyFill="1" applyBorder="1"/>
    <xf numFmtId="4" fontId="3" fillId="7" borderId="1" xfId="15" applyNumberFormat="1" applyFont="1" applyFill="1" applyBorder="1" applyAlignment="1">
      <alignment horizontal="right" wrapText="1"/>
    </xf>
    <xf numFmtId="4" fontId="3" fillId="21" borderId="1" xfId="14" applyNumberFormat="1" applyFont="1" applyFill="1" applyBorder="1" applyAlignment="1">
      <alignment horizontal="right" wrapText="1"/>
    </xf>
    <xf numFmtId="0" fontId="0" fillId="21" borderId="1" xfId="0" applyFill="1" applyBorder="1"/>
    <xf numFmtId="0" fontId="0" fillId="0" borderId="36" xfId="0" applyBorder="1"/>
    <xf numFmtId="0" fontId="0" fillId="0" borderId="37" xfId="0" applyBorder="1"/>
    <xf numFmtId="4" fontId="75" fillId="0" borderId="38" xfId="0" applyNumberFormat="1" applyFont="1" applyBorder="1"/>
    <xf numFmtId="0" fontId="0" fillId="2" borderId="3" xfId="0" applyFill="1" applyBorder="1" applyAlignment="1">
      <alignment wrapText="1"/>
    </xf>
    <xf numFmtId="4" fontId="0" fillId="2" borderId="3" xfId="0" applyNumberFormat="1" applyFill="1" applyBorder="1"/>
    <xf numFmtId="4" fontId="0" fillId="7" borderId="3" xfId="0" applyNumberFormat="1" applyFill="1" applyBorder="1"/>
    <xf numFmtId="0" fontId="0" fillId="16" borderId="1" xfId="0" applyFill="1" applyBorder="1"/>
    <xf numFmtId="0" fontId="0" fillId="16" borderId="1" xfId="0" applyFill="1" applyBorder="1" applyAlignment="1">
      <alignment wrapText="1"/>
    </xf>
    <xf numFmtId="0" fontId="3" fillId="16" borderId="1" xfId="1" applyFont="1" applyFill="1" applyBorder="1" applyAlignment="1">
      <alignment horizontal="left" wrapText="1"/>
    </xf>
    <xf numFmtId="4" fontId="0" fillId="16" borderId="1" xfId="0" applyNumberFormat="1" applyFill="1" applyBorder="1"/>
    <xf numFmtId="0" fontId="75" fillId="16" borderId="1" xfId="0" applyFont="1" applyFill="1" applyBorder="1"/>
    <xf numFmtId="0" fontId="76" fillId="0" borderId="0" xfId="0" applyFont="1" applyAlignment="1">
      <alignment horizontal="center" vertical="center"/>
    </xf>
    <xf numFmtId="0" fontId="79" fillId="0" borderId="1" xfId="0" applyFont="1" applyBorder="1" applyAlignment="1">
      <alignment horizontal="center" vertical="center"/>
    </xf>
    <xf numFmtId="0" fontId="77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7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0" borderId="0" xfId="0" applyFont="1"/>
    <xf numFmtId="0" fontId="81" fillId="2" borderId="1" xfId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82" fillId="0" borderId="1" xfId="1" applyFont="1" applyFill="1" applyBorder="1" applyAlignment="1">
      <alignment horizontal="left" wrapText="1"/>
    </xf>
    <xf numFmtId="4" fontId="82" fillId="0" borderId="1" xfId="1" applyNumberFormat="1" applyFont="1" applyFill="1" applyBorder="1" applyAlignment="1">
      <alignment horizontal="right" wrapText="1"/>
    </xf>
    <xf numFmtId="4" fontId="82" fillId="0" borderId="1" xfId="15" applyNumberFormat="1" applyFont="1" applyFill="1" applyBorder="1" applyAlignment="1">
      <alignment horizontal="right" wrapText="1"/>
    </xf>
    <xf numFmtId="4" fontId="82" fillId="21" borderId="1" xfId="14" applyNumberFormat="1" applyFont="1" applyFill="1" applyBorder="1" applyAlignment="1">
      <alignment horizontal="right" wrapText="1"/>
    </xf>
    <xf numFmtId="4" fontId="82" fillId="21" borderId="1" xfId="17" applyNumberFormat="1" applyFont="1" applyFill="1" applyBorder="1" applyAlignment="1">
      <alignment horizontal="right" wrapText="1"/>
    </xf>
    <xf numFmtId="4" fontId="30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left" vertical="center" wrapText="1"/>
    </xf>
    <xf numFmtId="0" fontId="83" fillId="0" borderId="0" xfId="0" applyFont="1" applyAlignment="1">
      <alignment horizontal="center" vertical="center"/>
    </xf>
    <xf numFmtId="4" fontId="82" fillId="0" borderId="1" xfId="17" applyNumberFormat="1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4" fontId="30" fillId="2" borderId="3" xfId="0" applyNumberFormat="1" applyFont="1" applyFill="1" applyBorder="1"/>
    <xf numFmtId="0" fontId="82" fillId="16" borderId="1" xfId="1" applyFont="1" applyFill="1" applyBorder="1" applyAlignment="1">
      <alignment horizontal="left" wrapText="1"/>
    </xf>
    <xf numFmtId="0" fontId="30" fillId="16" borderId="1" xfId="0" applyFont="1" applyFill="1" applyBorder="1"/>
    <xf numFmtId="4" fontId="30" fillId="16" borderId="1" xfId="0" applyNumberFormat="1" applyFont="1" applyFill="1" applyBorder="1"/>
    <xf numFmtId="0" fontId="30" fillId="0" borderId="0" xfId="0" applyFont="1"/>
    <xf numFmtId="4" fontId="30" fillId="7" borderId="3" xfId="0" applyNumberFormat="1" applyFont="1" applyFill="1" applyBorder="1"/>
    <xf numFmtId="4" fontId="0" fillId="2" borderId="1" xfId="0" applyNumberFormat="1" applyFont="1" applyFill="1" applyBorder="1"/>
    <xf numFmtId="4" fontId="0" fillId="2" borderId="0" xfId="0" applyNumberFormat="1" applyFont="1" applyFill="1"/>
    <xf numFmtId="0" fontId="83" fillId="2" borderId="0" xfId="0" applyFont="1" applyFill="1" applyAlignment="1">
      <alignment horizontal="center" vertical="center"/>
    </xf>
    <xf numFmtId="0" fontId="80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7" fillId="3" borderId="0" xfId="2" applyFont="1" applyFill="1" applyAlignment="1">
      <alignment horizontal="center"/>
    </xf>
    <xf numFmtId="0" fontId="11" fillId="3" borderId="1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/>
    </xf>
    <xf numFmtId="4" fontId="85" fillId="0" borderId="39" xfId="18" applyNumberFormat="1" applyFont="1" applyFill="1" applyBorder="1" applyAlignment="1">
      <alignment horizontal="right" wrapText="1"/>
    </xf>
    <xf numFmtId="3" fontId="19" fillId="3" borderId="1" xfId="3" applyNumberFormat="1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4" fontId="85" fillId="0" borderId="3" xfId="18" applyNumberFormat="1" applyFont="1" applyFill="1" applyBorder="1" applyAlignment="1">
      <alignment horizontal="right" wrapText="1"/>
    </xf>
    <xf numFmtId="0" fontId="7" fillId="3" borderId="3" xfId="2" applyFont="1" applyFill="1" applyBorder="1"/>
    <xf numFmtId="0" fontId="14" fillId="8" borderId="19" xfId="2" applyFont="1" applyFill="1" applyBorder="1" applyAlignment="1">
      <alignment horizontal="center" vertical="center" wrapText="1"/>
    </xf>
    <xf numFmtId="0" fontId="14" fillId="8" borderId="24" xfId="2" applyFont="1" applyFill="1" applyBorder="1" applyAlignment="1">
      <alignment horizontal="center" vertical="center" wrapText="1"/>
    </xf>
    <xf numFmtId="4" fontId="7" fillId="3" borderId="1" xfId="2" applyNumberFormat="1" applyFont="1" applyFill="1" applyBorder="1"/>
    <xf numFmtId="4" fontId="24" fillId="3" borderId="3" xfId="2" applyNumberFormat="1" applyFont="1" applyFill="1" applyBorder="1" applyAlignment="1">
      <alignment horizontal="center" vertical="center" wrapText="1"/>
    </xf>
    <xf numFmtId="4" fontId="16" fillId="3" borderId="40" xfId="2" applyNumberFormat="1" applyFont="1" applyFill="1" applyBorder="1" applyAlignment="1" applyProtection="1">
      <alignment horizontal="center" vertical="center" wrapText="1"/>
    </xf>
    <xf numFmtId="4" fontId="19" fillId="3" borderId="40" xfId="2" applyNumberFormat="1" applyFont="1" applyFill="1" applyBorder="1" applyAlignment="1">
      <alignment horizontal="center"/>
    </xf>
    <xf numFmtId="0" fontId="13" fillId="21" borderId="28" xfId="2" applyFont="1" applyFill="1" applyBorder="1" applyAlignment="1">
      <alignment horizontal="center" vertical="center" wrapText="1"/>
    </xf>
    <xf numFmtId="3" fontId="17" fillId="21" borderId="41" xfId="2" applyNumberFormat="1" applyFont="1" applyFill="1" applyBorder="1" applyAlignment="1">
      <alignment horizontal="center" vertical="center" wrapText="1"/>
    </xf>
    <xf numFmtId="4" fontId="26" fillId="21" borderId="28" xfId="2" applyNumberFormat="1" applyFont="1" applyFill="1" applyBorder="1" applyAlignment="1">
      <alignment horizontal="center" vertical="center" wrapText="1"/>
    </xf>
    <xf numFmtId="0" fontId="59" fillId="3" borderId="16" xfId="2" applyFont="1" applyFill="1" applyBorder="1" applyAlignment="1">
      <alignment horizontal="center" vertical="center" wrapText="1"/>
    </xf>
    <xf numFmtId="4" fontId="9" fillId="3" borderId="16" xfId="3" applyNumberFormat="1" applyFont="1" applyFill="1" applyBorder="1" applyAlignment="1">
      <alignment horizontal="center" vertical="center" wrapText="1"/>
    </xf>
    <xf numFmtId="4" fontId="24" fillId="3" borderId="16" xfId="2" applyNumberFormat="1" applyFont="1" applyFill="1" applyBorder="1" applyAlignment="1">
      <alignment horizontal="center" vertical="center" wrapText="1"/>
    </xf>
    <xf numFmtId="0" fontId="14" fillId="21" borderId="19" xfId="2" applyFont="1" applyFill="1" applyBorder="1" applyAlignment="1">
      <alignment horizontal="center" vertical="center" wrapText="1"/>
    </xf>
    <xf numFmtId="0" fontId="14" fillId="21" borderId="20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horizontal="center" vertical="center" wrapText="1"/>
    </xf>
    <xf numFmtId="0" fontId="14" fillId="3" borderId="24" xfId="2" applyFont="1" applyFill="1" applyBorder="1" applyAlignment="1">
      <alignment horizontal="center" vertical="center" wrapText="1"/>
    </xf>
    <xf numFmtId="3" fontId="17" fillId="21" borderId="10" xfId="2" applyNumberFormat="1" applyFont="1" applyFill="1" applyBorder="1" applyAlignment="1">
      <alignment horizontal="center" vertical="center" wrapText="1"/>
    </xf>
    <xf numFmtId="3" fontId="19" fillId="3" borderId="12" xfId="3" applyNumberFormat="1" applyFont="1" applyFill="1" applyBorder="1" applyAlignment="1">
      <alignment horizontal="center" vertical="center" wrapText="1"/>
    </xf>
    <xf numFmtId="3" fontId="21" fillId="21" borderId="10" xfId="2" applyNumberFormat="1" applyFont="1" applyFill="1" applyBorder="1" applyAlignment="1">
      <alignment horizontal="center" vertical="center" wrapText="1"/>
    </xf>
    <xf numFmtId="3" fontId="22" fillId="21" borderId="10" xfId="2" applyNumberFormat="1" applyFont="1" applyFill="1" applyBorder="1" applyAlignment="1">
      <alignment horizontal="center" vertical="center" wrapText="1"/>
    </xf>
    <xf numFmtId="4" fontId="24" fillId="21" borderId="13" xfId="2" applyNumberFormat="1" applyFont="1" applyFill="1" applyBorder="1" applyAlignment="1">
      <alignment horizontal="center" vertical="center" wrapText="1"/>
    </xf>
    <xf numFmtId="4" fontId="24" fillId="21" borderId="14" xfId="2" applyNumberFormat="1" applyFont="1" applyFill="1" applyBorder="1" applyAlignment="1">
      <alignment horizontal="center" vertical="center" wrapText="1"/>
    </xf>
    <xf numFmtId="4" fontId="24" fillId="4" borderId="14" xfId="2" applyNumberFormat="1" applyFont="1" applyFill="1" applyBorder="1" applyAlignment="1">
      <alignment horizontal="center" vertical="center" wrapText="1"/>
    </xf>
    <xf numFmtId="4" fontId="24" fillId="3" borderId="15" xfId="2" applyNumberFormat="1" applyFont="1" applyFill="1" applyBorder="1" applyAlignment="1">
      <alignment horizontal="center" vertical="center" wrapText="1"/>
    </xf>
    <xf numFmtId="0" fontId="8" fillId="3" borderId="0" xfId="2" applyFont="1" applyFill="1"/>
    <xf numFmtId="0" fontId="12" fillId="3" borderId="1" xfId="2" applyFont="1" applyFill="1" applyBorder="1" applyAlignment="1">
      <alignment horizontal="center" vertical="center" wrapText="1"/>
    </xf>
    <xf numFmtId="4" fontId="8" fillId="3" borderId="1" xfId="2" applyNumberFormat="1" applyFont="1" applyFill="1" applyBorder="1"/>
    <xf numFmtId="4" fontId="25" fillId="3" borderId="1" xfId="2" applyNumberFormat="1" applyFont="1" applyFill="1" applyBorder="1" applyAlignment="1">
      <alignment horizontal="center" vertical="center" wrapText="1"/>
    </xf>
    <xf numFmtId="0" fontId="11" fillId="3" borderId="16" xfId="2" applyFont="1" applyFill="1" applyBorder="1" applyAlignment="1">
      <alignment horizontal="center" vertical="center" wrapText="1"/>
    </xf>
    <xf numFmtId="4" fontId="24" fillId="3" borderId="13" xfId="2" applyNumberFormat="1" applyFont="1" applyFill="1" applyBorder="1" applyAlignment="1">
      <alignment horizontal="center" vertical="center" wrapText="1"/>
    </xf>
    <xf numFmtId="0" fontId="16" fillId="3" borderId="3" xfId="2" applyFont="1" applyFill="1" applyBorder="1" applyAlignment="1" applyProtection="1">
      <alignment horizontal="center" vertical="center" wrapText="1"/>
    </xf>
    <xf numFmtId="0" fontId="19" fillId="3" borderId="3" xfId="2" applyFont="1" applyFill="1" applyBorder="1" applyAlignment="1">
      <alignment horizontal="center"/>
    </xf>
    <xf numFmtId="0" fontId="19" fillId="3" borderId="3" xfId="2" applyFont="1" applyFill="1" applyBorder="1" applyAlignment="1">
      <alignment horizontal="center" vertical="center" wrapText="1"/>
    </xf>
    <xf numFmtId="4" fontId="26" fillId="3" borderId="3" xfId="2" applyNumberFormat="1" applyFont="1" applyFill="1" applyBorder="1" applyAlignment="1">
      <alignment horizontal="center" vertical="center" wrapText="1"/>
    </xf>
    <xf numFmtId="0" fontId="16" fillId="3" borderId="10" xfId="2" applyFont="1" applyFill="1" applyBorder="1" applyAlignment="1" applyProtection="1">
      <alignment horizontal="center" vertical="center" wrapText="1"/>
    </xf>
    <xf numFmtId="4" fontId="16" fillId="3" borderId="42" xfId="2" applyNumberFormat="1" applyFont="1" applyFill="1" applyBorder="1" applyAlignment="1" applyProtection="1">
      <alignment horizontal="center" vertical="center" wrapText="1"/>
    </xf>
    <xf numFmtId="4" fontId="16" fillId="3" borderId="10" xfId="2" applyNumberFormat="1" applyFont="1" applyFill="1" applyBorder="1" applyAlignment="1" applyProtection="1">
      <alignment horizontal="center" vertical="center" wrapText="1"/>
    </xf>
    <xf numFmtId="0" fontId="16" fillId="3" borderId="42" xfId="2" applyFont="1" applyFill="1" applyBorder="1" applyAlignment="1" applyProtection="1">
      <alignment horizontal="center" vertical="center" wrapText="1"/>
    </xf>
    <xf numFmtId="4" fontId="87" fillId="3" borderId="10" xfId="2" applyNumberFormat="1" applyFont="1" applyFill="1" applyBorder="1" applyAlignment="1" applyProtection="1">
      <alignment horizontal="center" vertical="center" wrapText="1"/>
    </xf>
    <xf numFmtId="0" fontId="19" fillId="3" borderId="10" xfId="2" applyFont="1" applyFill="1" applyBorder="1" applyAlignment="1">
      <alignment horizontal="center"/>
    </xf>
    <xf numFmtId="4" fontId="19" fillId="3" borderId="42" xfId="2" applyNumberFormat="1" applyFont="1" applyFill="1" applyBorder="1" applyAlignment="1">
      <alignment horizontal="center"/>
    </xf>
    <xf numFmtId="0" fontId="19" fillId="3" borderId="42" xfId="2" applyFont="1" applyFill="1" applyBorder="1" applyAlignment="1">
      <alignment horizontal="center"/>
    </xf>
    <xf numFmtId="0" fontId="19" fillId="3" borderId="42" xfId="2" applyFont="1" applyFill="1" applyBorder="1" applyAlignment="1">
      <alignment horizontal="center" vertical="center" wrapText="1"/>
    </xf>
    <xf numFmtId="0" fontId="19" fillId="3" borderId="10" xfId="2" applyFont="1" applyFill="1" applyBorder="1" applyAlignment="1">
      <alignment horizontal="center" vertical="center" wrapText="1"/>
    </xf>
    <xf numFmtId="4" fontId="19" fillId="3" borderId="42" xfId="2" applyNumberFormat="1" applyFont="1" applyFill="1" applyBorder="1" applyAlignment="1">
      <alignment horizontal="center" vertical="center" wrapText="1"/>
    </xf>
    <xf numFmtId="4" fontId="26" fillId="3" borderId="13" xfId="2" applyNumberFormat="1" applyFont="1" applyFill="1" applyBorder="1" applyAlignment="1">
      <alignment horizontal="center" vertical="center" wrapText="1"/>
    </xf>
    <xf numFmtId="4" fontId="26" fillId="3" borderId="34" xfId="2" applyNumberFormat="1" applyFont="1" applyFill="1" applyBorder="1" applyAlignment="1">
      <alignment horizontal="center" vertical="center" wrapText="1"/>
    </xf>
    <xf numFmtId="0" fontId="19" fillId="8" borderId="2" xfId="2" applyFont="1" applyFill="1" applyBorder="1" applyAlignment="1">
      <alignment horizontal="center"/>
    </xf>
    <xf numFmtId="0" fontId="19" fillId="8" borderId="12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14" fontId="8" fillId="3" borderId="3" xfId="2" applyNumberFormat="1" applyFont="1" applyFill="1" applyBorder="1" applyAlignment="1">
      <alignment horizontal="center" vertical="center"/>
    </xf>
    <xf numFmtId="4" fontId="16" fillId="12" borderId="10" xfId="2" applyNumberFormat="1" applyFont="1" applyFill="1" applyBorder="1" applyAlignment="1" applyProtection="1">
      <alignment horizontal="center" vertical="center" wrapText="1"/>
    </xf>
    <xf numFmtId="4" fontId="19" fillId="12" borderId="42" xfId="2" applyNumberFormat="1" applyFont="1" applyFill="1" applyBorder="1" applyAlignment="1">
      <alignment horizontal="center"/>
    </xf>
    <xf numFmtId="166" fontId="7" fillId="3" borderId="1" xfId="2" applyNumberFormat="1" applyFont="1" applyFill="1" applyBorder="1" applyAlignment="1">
      <alignment horizontal="center" wrapText="1"/>
    </xf>
    <xf numFmtId="14" fontId="84" fillId="3" borderId="29" xfId="2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8" fillId="3" borderId="0" xfId="2" applyFont="1" applyFill="1" applyAlignment="1">
      <alignment horizontal="center"/>
    </xf>
    <xf numFmtId="0" fontId="89" fillId="0" borderId="0" xfId="0" applyFont="1" applyAlignment="1">
      <alignment horizontal="center"/>
    </xf>
    <xf numFmtId="0" fontId="29" fillId="0" borderId="0" xfId="2" applyFont="1" applyAlignment="1">
      <alignment horizontal="center"/>
    </xf>
    <xf numFmtId="0" fontId="30" fillId="0" borderId="0" xfId="2" applyFont="1" applyAlignment="1"/>
    <xf numFmtId="0" fontId="30" fillId="0" borderId="0" xfId="2" applyFont="1" applyAlignment="1">
      <alignment wrapText="1"/>
    </xf>
    <xf numFmtId="0" fontId="6" fillId="0" borderId="0" xfId="2" applyAlignment="1">
      <alignment wrapText="1"/>
    </xf>
    <xf numFmtId="0" fontId="7" fillId="3" borderId="17" xfId="2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/>
    </xf>
    <xf numFmtId="0" fontId="6" fillId="0" borderId="0" xfId="2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5" fillId="3" borderId="1" xfId="2" applyFont="1" applyFill="1" applyBorder="1" applyAlignment="1">
      <alignment horizontal="center"/>
    </xf>
    <xf numFmtId="0" fontId="9" fillId="3" borderId="17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horizontal="center" vertical="center"/>
    </xf>
    <xf numFmtId="0" fontId="46" fillId="18" borderId="2" xfId="0" applyFont="1" applyFill="1" applyBorder="1" applyAlignment="1">
      <alignment horizontal="center" vertical="center"/>
    </xf>
    <xf numFmtId="0" fontId="46" fillId="18" borderId="1" xfId="0" applyFont="1" applyFill="1" applyBorder="1" applyAlignment="1">
      <alignment horizontal="center" vertical="center"/>
    </xf>
    <xf numFmtId="0" fontId="11" fillId="17" borderId="1" xfId="2" applyFont="1" applyFill="1" applyBorder="1" applyAlignment="1">
      <alignment horizontal="center" vertical="center"/>
    </xf>
    <xf numFmtId="0" fontId="11" fillId="16" borderId="1" xfId="2" applyFont="1" applyFill="1" applyBorder="1" applyAlignment="1">
      <alignment horizontal="center" vertical="center"/>
    </xf>
    <xf numFmtId="0" fontId="45" fillId="18" borderId="19" xfId="2" applyFont="1" applyFill="1" applyBorder="1" applyAlignment="1">
      <alignment horizontal="center"/>
    </xf>
    <xf numFmtId="0" fontId="45" fillId="18" borderId="20" xfId="2" applyFont="1" applyFill="1" applyBorder="1" applyAlignment="1">
      <alignment horizontal="center"/>
    </xf>
    <xf numFmtId="0" fontId="7" fillId="18" borderId="21" xfId="2" applyFont="1" applyFill="1" applyBorder="1" applyAlignment="1">
      <alignment horizontal="center" vertical="center"/>
    </xf>
    <xf numFmtId="0" fontId="7" fillId="18" borderId="22" xfId="2" applyFont="1" applyFill="1" applyBorder="1" applyAlignment="1">
      <alignment horizontal="center" vertical="center"/>
    </xf>
    <xf numFmtId="0" fontId="7" fillId="18" borderId="11" xfId="2" applyFont="1" applyFill="1" applyBorder="1" applyAlignment="1">
      <alignment horizontal="center" vertical="center"/>
    </xf>
    <xf numFmtId="0" fontId="7" fillId="17" borderId="1" xfId="2" applyFont="1" applyFill="1" applyBorder="1" applyAlignment="1">
      <alignment horizontal="center" vertical="center"/>
    </xf>
    <xf numFmtId="0" fontId="7" fillId="16" borderId="17" xfId="2" applyFont="1" applyFill="1" applyBorder="1" applyAlignment="1">
      <alignment horizontal="center" vertical="center"/>
    </xf>
    <xf numFmtId="0" fontId="7" fillId="16" borderId="18" xfId="2" applyFont="1" applyFill="1" applyBorder="1" applyAlignment="1">
      <alignment horizontal="center" vertical="center"/>
    </xf>
    <xf numFmtId="0" fontId="7" fillId="16" borderId="5" xfId="2" applyFont="1" applyFill="1" applyBorder="1" applyAlignment="1">
      <alignment horizontal="center" vertical="center"/>
    </xf>
    <xf numFmtId="0" fontId="61" fillId="16" borderId="17" xfId="2" applyFont="1" applyFill="1" applyBorder="1" applyAlignment="1">
      <alignment horizontal="center" vertical="center"/>
    </xf>
    <xf numFmtId="0" fontId="61" fillId="16" borderId="18" xfId="2" applyFont="1" applyFill="1" applyBorder="1" applyAlignment="1">
      <alignment horizontal="center" vertical="center"/>
    </xf>
    <xf numFmtId="0" fontId="61" fillId="16" borderId="5" xfId="2" applyFont="1" applyFill="1" applyBorder="1" applyAlignment="1">
      <alignment horizontal="center" vertical="center"/>
    </xf>
    <xf numFmtId="0" fontId="68" fillId="17" borderId="1" xfId="2" applyFont="1" applyFill="1" applyBorder="1" applyAlignment="1">
      <alignment horizontal="center" vertical="center"/>
    </xf>
    <xf numFmtId="0" fontId="69" fillId="17" borderId="1" xfId="2" applyFont="1" applyFill="1" applyBorder="1" applyAlignment="1">
      <alignment horizontal="center" vertical="center"/>
    </xf>
    <xf numFmtId="0" fontId="62" fillId="16" borderId="1" xfId="2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20" borderId="29" xfId="0" applyFont="1" applyFill="1" applyBorder="1" applyAlignment="1">
      <alignment horizontal="center"/>
    </xf>
    <xf numFmtId="0" fontId="0" fillId="20" borderId="30" xfId="0" applyFont="1" applyFill="1" applyBorder="1" applyAlignment="1">
      <alignment horizontal="center"/>
    </xf>
    <xf numFmtId="0" fontId="0" fillId="20" borderId="19" xfId="0" applyFont="1" applyFill="1" applyBorder="1" applyAlignment="1">
      <alignment horizontal="center"/>
    </xf>
    <xf numFmtId="0" fontId="0" fillId="20" borderId="20" xfId="0" applyFont="1" applyFill="1" applyBorder="1" applyAlignment="1">
      <alignment horizontal="center"/>
    </xf>
    <xf numFmtId="0" fontId="0" fillId="20" borderId="24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0" fillId="3" borderId="20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73" fillId="0" borderId="0" xfId="2" applyFont="1" applyAlignment="1">
      <alignment horizontal="center" wrapText="1"/>
    </xf>
    <xf numFmtId="0" fontId="6" fillId="0" borderId="17" xfId="2" applyBorder="1" applyAlignment="1">
      <alignment horizontal="center" vertical="center" wrapText="1"/>
    </xf>
    <xf numFmtId="0" fontId="6" fillId="0" borderId="5" xfId="2" applyBorder="1" applyAlignment="1">
      <alignment horizontal="center" vertical="center" wrapText="1"/>
    </xf>
    <xf numFmtId="0" fontId="6" fillId="0" borderId="0" xfId="2" applyAlignment="1">
      <alignment vertical="center" wrapText="1"/>
    </xf>
    <xf numFmtId="0" fontId="6" fillId="0" borderId="0" xfId="2" applyAlignment="1"/>
    <xf numFmtId="0" fontId="77" fillId="0" borderId="1" xfId="0" applyFont="1" applyBorder="1" applyAlignment="1">
      <alignment horizontal="center" vertical="center"/>
    </xf>
    <xf numFmtId="0" fontId="78" fillId="0" borderId="3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</cellXfs>
  <cellStyles count="19">
    <cellStyle name="Обычный" xfId="0" builtinId="0"/>
    <cellStyle name="Обычный 2" xfId="2" xr:uid="{00000000-0005-0000-0000-000001000000}"/>
    <cellStyle name="Обычный 3" xfId="4" xr:uid="{00000000-0005-0000-0000-000002000000}"/>
    <cellStyle name="Обычный 3 2" xfId="5" xr:uid="{00000000-0005-0000-0000-000003000000}"/>
    <cellStyle name="Обычный 4" xfId="6" xr:uid="{00000000-0005-0000-0000-000004000000}"/>
    <cellStyle name="Обычный 4 2" xfId="7" xr:uid="{00000000-0005-0000-0000-000005000000}"/>
    <cellStyle name="Обычный 4 2 2" xfId="8" xr:uid="{00000000-0005-0000-0000-000006000000}"/>
    <cellStyle name="Обычный 5" xfId="9" xr:uid="{00000000-0005-0000-0000-000007000000}"/>
    <cellStyle name="Обычный 6" xfId="10" xr:uid="{00000000-0005-0000-0000-000008000000}"/>
    <cellStyle name="Обычный 7" xfId="11" xr:uid="{00000000-0005-0000-0000-000009000000}"/>
    <cellStyle name="Обычный 8" xfId="12" xr:uid="{00000000-0005-0000-0000-00000A000000}"/>
    <cellStyle name="Обычный_для подстановки" xfId="3" xr:uid="{00000000-0005-0000-0000-00000B000000}"/>
    <cellStyle name="Обычный_Лист1" xfId="1" xr:uid="{00000000-0005-0000-0000-00000C000000}"/>
    <cellStyle name="Обычный_Лист1_1" xfId="18" xr:uid="{00000000-0005-0000-0000-00000D000000}"/>
    <cellStyle name="Обычный_Лист2" xfId="14" xr:uid="{00000000-0005-0000-0000-00000E000000}"/>
    <cellStyle name="Обычный_Лист3" xfId="15" xr:uid="{00000000-0005-0000-0000-00000F000000}"/>
    <cellStyle name="Обычный_Лист4" xfId="16" xr:uid="{00000000-0005-0000-0000-000010000000}"/>
    <cellStyle name="Обычный_Лист5" xfId="17" xr:uid="{00000000-0005-0000-0000-000011000000}"/>
    <cellStyle name="Финансовый 2" xfId="13" xr:uid="{00000000-0005-0000-0000-00001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CC99"/>
      <color rgb="FFCC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54;&#1045;\&#1052;&#1053;\2017\&#1057;&#1086;&#1094;%20&#1087;&#1086;&#1076;%202017\&#1057;&#1086;&#1094;%20&#1087;&#1086;&#1076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дых на 20 ноя 2017"/>
      <sheetName val="проезд Лизе к бюджету 2018"/>
      <sheetName val="отдых для Лизы к бюджету 2018"/>
      <sheetName val="расчет к передв 2"/>
      <sheetName val="212проезд-19.10 2017  передв 2"/>
      <sheetName val="212проезд-19.10 2017 общая"/>
      <sheetName val="212проезд-19.10 2017 передв 1"/>
      <sheetName val="расчет к передвижке1 ноб17"/>
      <sheetName val="для распоряжения 22июня"/>
      <sheetName val="для Жеребцовой"/>
      <sheetName val="262-2016 на 15 дек"/>
      <sheetName val="212проезд 2016 на 15дек "/>
      <sheetName val="на 24.04.2017"/>
      <sheetName val="на 24.04.2017 (2)"/>
      <sheetName val="262 0709"/>
      <sheetName val="262 1003"/>
      <sheetName val="212 1003"/>
      <sheetName val="для Жеребцовой МН"/>
      <sheetName val="для Жер от22июн уточн от жереб"/>
      <sheetName val="для Жер 22июн (к бюджету "/>
      <sheetName val="262-2017 по квоте"/>
      <sheetName val="212проезд-2017 "/>
      <sheetName val="Передвижка май 2017 "/>
      <sheetName val="Уточн"/>
      <sheetName val="Передвижка на 0"/>
      <sheetName val="мн"/>
      <sheetName val="мн на сады 276100"/>
      <sheetName val="Передвижка между ЦС"/>
      <sheetName val="262-2017 на 24апр уточнен у шко"/>
      <sheetName val="Лист1"/>
      <sheetName val="потребность на 18 июля"/>
      <sheetName val="расчет по соц к передв мц"/>
      <sheetName val="Лист2"/>
      <sheetName val="Лист3"/>
      <sheetName val="Лист4"/>
    </sheetNames>
    <sheetDataSet>
      <sheetData sheetId="0"/>
      <sheetData sheetId="1">
        <row r="79">
          <cell r="E79">
            <v>2715600</v>
          </cell>
          <cell r="K79">
            <v>3729448.8</v>
          </cell>
        </row>
        <row r="82">
          <cell r="L82">
            <v>1017300</v>
          </cell>
        </row>
      </sheetData>
      <sheetData sheetId="2">
        <row r="74">
          <cell r="D74">
            <v>18882200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74"/>
  <sheetViews>
    <sheetView tabSelected="1" topLeftCell="B1" zoomScaleNormal="100" workbookViewId="0">
      <selection activeCell="I14" sqref="I14"/>
    </sheetView>
  </sheetViews>
  <sheetFormatPr defaultColWidth="8.33203125" defaultRowHeight="13.2" x14ac:dyDescent="0.25"/>
  <cols>
    <col min="1" max="1" width="3.33203125" style="21" hidden="1" customWidth="1"/>
    <col min="2" max="2" width="10" style="522" customWidth="1"/>
    <col min="3" max="3" width="12" style="443" customWidth="1"/>
    <col min="4" max="4" width="14.6640625" style="429" customWidth="1"/>
    <col min="5" max="5" width="13" style="7" hidden="1" customWidth="1"/>
    <col min="6" max="16384" width="8.33203125" style="7"/>
  </cols>
  <sheetData>
    <row r="1" spans="1:7" s="10" customFormat="1" ht="11.4" customHeight="1" thickBot="1" x14ac:dyDescent="0.35">
      <c r="A1" s="9"/>
      <c r="C1" s="444"/>
      <c r="D1" s="12"/>
    </row>
    <row r="2" spans="1:7" s="10" customFormat="1" ht="61.95" customHeight="1" x14ac:dyDescent="0.3">
      <c r="A2" s="9"/>
      <c r="B2" s="578" t="s">
        <v>205</v>
      </c>
      <c r="C2" s="543" t="s">
        <v>343</v>
      </c>
      <c r="D2" s="430" t="s">
        <v>344</v>
      </c>
      <c r="E2" s="521" t="s">
        <v>114</v>
      </c>
    </row>
    <row r="3" spans="1:7" x14ac:dyDescent="0.25">
      <c r="A3" s="21" t="s">
        <v>9</v>
      </c>
      <c r="B3" s="558">
        <v>13</v>
      </c>
      <c r="C3" s="545">
        <v>12</v>
      </c>
      <c r="D3" s="433">
        <v>362130</v>
      </c>
      <c r="E3" s="433" t="e">
        <f>#REF!+D3</f>
        <v>#REF!</v>
      </c>
      <c r="F3" s="38"/>
      <c r="G3" s="37"/>
    </row>
    <row r="4" spans="1:7" x14ac:dyDescent="0.25">
      <c r="A4" s="21" t="s">
        <v>10</v>
      </c>
      <c r="B4" s="558">
        <v>14</v>
      </c>
      <c r="C4" s="545">
        <v>8</v>
      </c>
      <c r="D4" s="433">
        <v>241420</v>
      </c>
      <c r="E4" s="433" t="e">
        <f>#REF!+D4</f>
        <v>#REF!</v>
      </c>
      <c r="F4" s="38"/>
      <c r="G4" s="37"/>
    </row>
    <row r="5" spans="1:7" x14ac:dyDescent="0.25">
      <c r="A5" s="21" t="s">
        <v>44</v>
      </c>
      <c r="B5" s="558">
        <v>17</v>
      </c>
      <c r="C5" s="545">
        <v>10</v>
      </c>
      <c r="D5" s="433">
        <v>301775</v>
      </c>
      <c r="E5" s="433" t="e">
        <f>#REF!+D5</f>
        <v>#REF!</v>
      </c>
      <c r="F5" s="38"/>
      <c r="G5" s="37"/>
    </row>
    <row r="6" spans="1:7" x14ac:dyDescent="0.25">
      <c r="A6" s="26" t="s">
        <v>6</v>
      </c>
      <c r="B6" s="558">
        <v>20</v>
      </c>
      <c r="C6" s="545">
        <v>11</v>
      </c>
      <c r="D6" s="433">
        <v>331952.5</v>
      </c>
      <c r="E6" s="433" t="e">
        <f>#REF!+D6</f>
        <v>#REF!</v>
      </c>
      <c r="F6" s="38"/>
      <c r="G6" s="37"/>
    </row>
    <row r="7" spans="1:7" x14ac:dyDescent="0.25">
      <c r="A7" s="21" t="s">
        <v>45</v>
      </c>
      <c r="B7" s="558">
        <v>23</v>
      </c>
      <c r="C7" s="545">
        <v>11</v>
      </c>
      <c r="D7" s="433">
        <v>331952.5</v>
      </c>
      <c r="E7" s="433" t="e">
        <f>#REF!+D7</f>
        <v>#REF!</v>
      </c>
      <c r="F7" s="38"/>
      <c r="G7" s="37"/>
    </row>
    <row r="8" spans="1:7" x14ac:dyDescent="0.25">
      <c r="A8" s="21" t="s">
        <v>11</v>
      </c>
      <c r="B8" s="558">
        <v>26</v>
      </c>
      <c r="C8" s="545">
        <v>11</v>
      </c>
      <c r="D8" s="433">
        <v>331952.5</v>
      </c>
      <c r="E8" s="433" t="e">
        <f>#REF!+D8</f>
        <v>#REF!</v>
      </c>
      <c r="F8" s="38"/>
      <c r="G8" s="37"/>
    </row>
    <row r="9" spans="1:7" x14ac:dyDescent="0.25">
      <c r="A9" s="21" t="s">
        <v>46</v>
      </c>
      <c r="B9" s="558">
        <v>34</v>
      </c>
      <c r="C9" s="545">
        <v>17</v>
      </c>
      <c r="D9" s="433">
        <v>513017.5</v>
      </c>
      <c r="E9" s="433" t="e">
        <f>#REF!+D9</f>
        <v>#REF!</v>
      </c>
      <c r="F9" s="38"/>
      <c r="G9" s="37"/>
    </row>
    <row r="10" spans="1:7" x14ac:dyDescent="0.25">
      <c r="A10" s="21" t="s">
        <v>24</v>
      </c>
      <c r="B10" s="558">
        <v>39</v>
      </c>
      <c r="C10" s="545">
        <v>8</v>
      </c>
      <c r="D10" s="433">
        <v>241420</v>
      </c>
      <c r="E10" s="433" t="e">
        <f>#REF!+D10</f>
        <v>#REF!</v>
      </c>
      <c r="F10" s="38"/>
      <c r="G10" s="37"/>
    </row>
    <row r="11" spans="1:7" x14ac:dyDescent="0.25">
      <c r="A11" s="21" t="s">
        <v>43</v>
      </c>
      <c r="B11" s="558">
        <v>268</v>
      </c>
      <c r="C11" s="545">
        <v>10</v>
      </c>
      <c r="D11" s="433">
        <v>301775</v>
      </c>
      <c r="E11" s="433" t="e">
        <f>#REF!+D11</f>
        <v>#REF!</v>
      </c>
      <c r="F11" s="38"/>
      <c r="G11" s="37"/>
    </row>
    <row r="12" spans="1:7" x14ac:dyDescent="0.25">
      <c r="A12" s="21" t="s">
        <v>5</v>
      </c>
      <c r="B12" s="558">
        <v>323</v>
      </c>
      <c r="C12" s="545">
        <v>13</v>
      </c>
      <c r="D12" s="433">
        <v>392307.5</v>
      </c>
      <c r="E12" s="433" t="e">
        <f>#REF!+D12</f>
        <v>#REF!</v>
      </c>
      <c r="F12" s="38"/>
      <c r="G12" s="37"/>
    </row>
    <row r="13" spans="1:7" x14ac:dyDescent="0.25">
      <c r="A13" s="21" t="s">
        <v>39</v>
      </c>
      <c r="B13" s="558">
        <v>326</v>
      </c>
      <c r="C13" s="545">
        <v>7</v>
      </c>
      <c r="D13" s="433">
        <v>211242.5</v>
      </c>
      <c r="E13" s="433" t="e">
        <f>#REF!+D13</f>
        <v>#REF!</v>
      </c>
      <c r="F13" s="38"/>
      <c r="G13" s="37"/>
    </row>
    <row r="14" spans="1:7" x14ac:dyDescent="0.25">
      <c r="A14" s="21" t="s">
        <v>12</v>
      </c>
      <c r="B14" s="558">
        <v>327</v>
      </c>
      <c r="C14" s="545">
        <v>13</v>
      </c>
      <c r="D14" s="433">
        <v>392307.5</v>
      </c>
      <c r="E14" s="433" t="e">
        <f>#REF!+D14</f>
        <v>#REF!</v>
      </c>
      <c r="F14" s="38"/>
      <c r="G14" s="37"/>
    </row>
    <row r="15" spans="1:7" x14ac:dyDescent="0.25">
      <c r="A15" s="21" t="s">
        <v>13</v>
      </c>
      <c r="B15" s="558">
        <v>328</v>
      </c>
      <c r="C15" s="545">
        <v>10</v>
      </c>
      <c r="D15" s="433">
        <v>301775</v>
      </c>
      <c r="E15" s="433" t="e">
        <f>#REF!+D15</f>
        <v>#REF!</v>
      </c>
      <c r="F15" s="38"/>
      <c r="G15" s="37"/>
    </row>
    <row r="16" spans="1:7" x14ac:dyDescent="0.25">
      <c r="A16" s="21" t="s">
        <v>14</v>
      </c>
      <c r="B16" s="558">
        <v>329</v>
      </c>
      <c r="C16" s="545">
        <v>10</v>
      </c>
      <c r="D16" s="433">
        <v>301775</v>
      </c>
      <c r="E16" s="433" t="e">
        <f>#REF!+D16</f>
        <v>#REF!</v>
      </c>
      <c r="F16" s="38"/>
      <c r="G16" s="37"/>
    </row>
    <row r="17" spans="1:7" x14ac:dyDescent="0.25">
      <c r="A17" s="21" t="s">
        <v>47</v>
      </c>
      <c r="B17" s="558">
        <v>330</v>
      </c>
      <c r="C17" s="545">
        <v>9</v>
      </c>
      <c r="D17" s="433">
        <v>271597.5</v>
      </c>
      <c r="E17" s="433" t="e">
        <f>#REF!+D17</f>
        <v>#REF!</v>
      </c>
      <c r="F17" s="38"/>
      <c r="G17" s="37"/>
    </row>
    <row r="18" spans="1:7" x14ac:dyDescent="0.25">
      <c r="A18" s="21" t="s">
        <v>48</v>
      </c>
      <c r="B18" s="558">
        <v>331</v>
      </c>
      <c r="C18" s="545">
        <v>7</v>
      </c>
      <c r="D18" s="433">
        <v>211242.5</v>
      </c>
      <c r="E18" s="433" t="e">
        <f>#REF!+D18</f>
        <v>#REF!</v>
      </c>
      <c r="F18" s="38"/>
      <c r="G18" s="37"/>
    </row>
    <row r="19" spans="1:7" x14ac:dyDescent="0.25">
      <c r="A19" s="21" t="s">
        <v>0</v>
      </c>
      <c r="B19" s="558">
        <v>332</v>
      </c>
      <c r="C19" s="545">
        <v>12</v>
      </c>
      <c r="D19" s="433">
        <v>362130</v>
      </c>
      <c r="E19" s="433" t="e">
        <f>#REF!+D19</f>
        <v>#REF!</v>
      </c>
      <c r="F19" s="38"/>
      <c r="G19" s="37"/>
    </row>
    <row r="20" spans="1:7" x14ac:dyDescent="0.25">
      <c r="A20" s="21" t="s">
        <v>1</v>
      </c>
      <c r="B20" s="558">
        <v>333</v>
      </c>
      <c r="C20" s="545">
        <v>15</v>
      </c>
      <c r="D20" s="433">
        <v>452662.5</v>
      </c>
      <c r="E20" s="433" t="e">
        <f>#REF!+D20</f>
        <v>#REF!</v>
      </c>
      <c r="F20" s="38"/>
      <c r="G20" s="37"/>
    </row>
    <row r="21" spans="1:7" x14ac:dyDescent="0.25">
      <c r="A21" s="21" t="s">
        <v>2</v>
      </c>
      <c r="B21" s="558">
        <v>334</v>
      </c>
      <c r="C21" s="545">
        <v>10</v>
      </c>
      <c r="D21" s="433">
        <v>301775</v>
      </c>
      <c r="E21" s="433" t="e">
        <f>#REF!+D21</f>
        <v>#REF!</v>
      </c>
      <c r="F21" s="38"/>
      <c r="G21" s="37"/>
    </row>
    <row r="22" spans="1:7" x14ac:dyDescent="0.25">
      <c r="A22" s="21" t="s">
        <v>3</v>
      </c>
      <c r="B22" s="558">
        <v>336</v>
      </c>
      <c r="C22" s="545">
        <v>2</v>
      </c>
      <c r="D22" s="433">
        <v>60355</v>
      </c>
      <c r="E22" s="433" t="e">
        <f>#REF!+D22</f>
        <v>#REF!</v>
      </c>
      <c r="F22" s="38"/>
      <c r="G22" s="37"/>
    </row>
    <row r="23" spans="1:7" x14ac:dyDescent="0.25">
      <c r="A23" s="21" t="s">
        <v>4</v>
      </c>
      <c r="B23" s="558">
        <v>337</v>
      </c>
      <c r="C23" s="545">
        <v>6</v>
      </c>
      <c r="D23" s="433">
        <v>181065</v>
      </c>
      <c r="E23" s="433" t="e">
        <f>#REF!+D23</f>
        <v>#REF!</v>
      </c>
      <c r="F23" s="38"/>
      <c r="G23" s="37"/>
    </row>
    <row r="24" spans="1:7" x14ac:dyDescent="0.25">
      <c r="A24" s="29" t="s">
        <v>15</v>
      </c>
      <c r="B24" s="558">
        <v>338</v>
      </c>
      <c r="C24" s="545">
        <v>11</v>
      </c>
      <c r="D24" s="433">
        <v>331952.5</v>
      </c>
      <c r="E24" s="433" t="e">
        <f>#REF!+D24</f>
        <v>#REF!</v>
      </c>
      <c r="F24" s="38"/>
      <c r="G24" s="37"/>
    </row>
    <row r="25" spans="1:7" x14ac:dyDescent="0.25">
      <c r="A25" s="21" t="s">
        <v>16</v>
      </c>
      <c r="B25" s="558">
        <v>339</v>
      </c>
      <c r="C25" s="545">
        <v>13</v>
      </c>
      <c r="D25" s="433">
        <v>392307.5</v>
      </c>
      <c r="E25" s="433" t="e">
        <f>#REF!+D25</f>
        <v>#REF!</v>
      </c>
      <c r="F25" s="38"/>
      <c r="G25" s="37"/>
    </row>
    <row r="26" spans="1:7" x14ac:dyDescent="0.25">
      <c r="A26" s="21" t="s">
        <v>17</v>
      </c>
      <c r="B26" s="558">
        <v>340</v>
      </c>
      <c r="C26" s="545">
        <v>4</v>
      </c>
      <c r="D26" s="433">
        <v>120710</v>
      </c>
      <c r="E26" s="433" t="e">
        <f>#REF!+D26</f>
        <v>#REF!</v>
      </c>
      <c r="F26" s="38"/>
      <c r="G26" s="37"/>
    </row>
    <row r="27" spans="1:7" x14ac:dyDescent="0.25">
      <c r="A27" s="21" t="s">
        <v>18</v>
      </c>
      <c r="B27" s="558">
        <v>341</v>
      </c>
      <c r="C27" s="545">
        <v>10</v>
      </c>
      <c r="D27" s="433">
        <v>301775</v>
      </c>
      <c r="E27" s="433" t="e">
        <f>#REF!+D27</f>
        <v>#REF!</v>
      </c>
      <c r="F27" s="38"/>
      <c r="G27" s="37"/>
    </row>
    <row r="28" spans="1:7" x14ac:dyDescent="0.25">
      <c r="A28" s="21" t="s">
        <v>19</v>
      </c>
      <c r="B28" s="558">
        <v>342</v>
      </c>
      <c r="C28" s="545">
        <v>5</v>
      </c>
      <c r="D28" s="433">
        <v>150887.5</v>
      </c>
      <c r="E28" s="433" t="e">
        <f>#REF!+D28</f>
        <v>#REF!</v>
      </c>
      <c r="F28" s="38"/>
      <c r="G28" s="37"/>
    </row>
    <row r="29" spans="1:7" x14ac:dyDescent="0.25">
      <c r="A29" s="21" t="s">
        <v>41</v>
      </c>
      <c r="B29" s="558">
        <v>343</v>
      </c>
      <c r="C29" s="545">
        <v>9</v>
      </c>
      <c r="D29" s="433">
        <v>271597.5</v>
      </c>
      <c r="E29" s="433" t="e">
        <f>#REF!+D29</f>
        <v>#REF!</v>
      </c>
      <c r="F29" s="38"/>
      <c r="G29" s="37"/>
    </row>
    <row r="30" spans="1:7" x14ac:dyDescent="0.25">
      <c r="A30" s="21" t="s">
        <v>60</v>
      </c>
      <c r="B30" s="558">
        <v>344</v>
      </c>
      <c r="C30" s="545">
        <v>19</v>
      </c>
      <c r="D30" s="433">
        <v>573372.5</v>
      </c>
      <c r="E30" s="433" t="e">
        <f>#REF!+D30</f>
        <v>#REF!</v>
      </c>
      <c r="F30" s="38"/>
      <c r="G30" s="37"/>
    </row>
    <row r="31" spans="1:7" x14ac:dyDescent="0.25">
      <c r="A31" s="21" t="s">
        <v>20</v>
      </c>
      <c r="B31" s="558">
        <v>345</v>
      </c>
      <c r="C31" s="545">
        <v>9</v>
      </c>
      <c r="D31" s="433">
        <v>271597.5</v>
      </c>
      <c r="E31" s="433" t="e">
        <f>#REF!+D31</f>
        <v>#REF!</v>
      </c>
      <c r="F31" s="38"/>
      <c r="G31" s="37"/>
    </row>
    <row r="32" spans="1:7" x14ac:dyDescent="0.25">
      <c r="A32" s="29" t="s">
        <v>7</v>
      </c>
      <c r="B32" s="558">
        <v>346</v>
      </c>
      <c r="C32" s="545">
        <v>14</v>
      </c>
      <c r="D32" s="433">
        <v>422485</v>
      </c>
      <c r="E32" s="433" t="e">
        <f>#REF!+D32</f>
        <v>#REF!</v>
      </c>
      <c r="F32" s="38"/>
      <c r="G32" s="37"/>
    </row>
    <row r="33" spans="1:7" x14ac:dyDescent="0.25">
      <c r="A33" s="21" t="s">
        <v>21</v>
      </c>
      <c r="B33" s="558">
        <v>347</v>
      </c>
      <c r="C33" s="545">
        <v>14</v>
      </c>
      <c r="D33" s="433">
        <v>422485</v>
      </c>
      <c r="E33" s="433" t="e">
        <f>#REF!+D33</f>
        <v>#REF!</v>
      </c>
      <c r="F33" s="38"/>
      <c r="G33" s="37"/>
    </row>
    <row r="34" spans="1:7" x14ac:dyDescent="0.25">
      <c r="A34" s="21" t="s">
        <v>22</v>
      </c>
      <c r="B34" s="558">
        <v>348</v>
      </c>
      <c r="C34" s="545">
        <v>11</v>
      </c>
      <c r="D34" s="433">
        <v>331952.5</v>
      </c>
      <c r="E34" s="433" t="e">
        <f>#REF!+D34</f>
        <v>#REF!</v>
      </c>
      <c r="F34" s="38"/>
      <c r="G34" s="37"/>
    </row>
    <row r="35" spans="1:7" x14ac:dyDescent="0.25">
      <c r="A35" s="21" t="s">
        <v>23</v>
      </c>
      <c r="B35" s="558">
        <v>350</v>
      </c>
      <c r="C35" s="545">
        <v>7</v>
      </c>
      <c r="D35" s="433">
        <v>211242.5</v>
      </c>
      <c r="E35" s="433" t="e">
        <f>#REF!+D35</f>
        <v>#REF!</v>
      </c>
      <c r="F35" s="38"/>
      <c r="G35" s="37"/>
    </row>
    <row r="36" spans="1:7" x14ac:dyDescent="0.25">
      <c r="A36" s="21" t="s">
        <v>25</v>
      </c>
      <c r="B36" s="558">
        <v>458</v>
      </c>
      <c r="C36" s="545">
        <v>13</v>
      </c>
      <c r="D36" s="433">
        <v>392307.5</v>
      </c>
      <c r="E36" s="433" t="e">
        <f>#REF!+D36</f>
        <v>#REF!</v>
      </c>
      <c r="F36" s="38"/>
      <c r="G36" s="37"/>
    </row>
    <row r="37" spans="1:7" x14ac:dyDescent="0.25">
      <c r="A37" s="21" t="s">
        <v>26</v>
      </c>
      <c r="B37" s="558">
        <v>497</v>
      </c>
      <c r="C37" s="545">
        <v>7</v>
      </c>
      <c r="D37" s="433">
        <v>211242.5</v>
      </c>
      <c r="E37" s="433" t="e">
        <f>#REF!+D37</f>
        <v>#REF!</v>
      </c>
      <c r="F37" s="38"/>
      <c r="G37" s="37"/>
    </row>
    <row r="38" spans="1:7" x14ac:dyDescent="0.25">
      <c r="A38" s="21" t="s">
        <v>8</v>
      </c>
      <c r="B38" s="558">
        <v>498</v>
      </c>
      <c r="C38" s="545">
        <v>11</v>
      </c>
      <c r="D38" s="433">
        <v>331952.5</v>
      </c>
      <c r="E38" s="433" t="e">
        <f>#REF!+D38</f>
        <v>#REF!</v>
      </c>
      <c r="F38" s="38"/>
      <c r="G38" s="37"/>
    </row>
    <row r="39" spans="1:7" x14ac:dyDescent="0.25">
      <c r="A39" s="21" t="s">
        <v>27</v>
      </c>
      <c r="B39" s="558">
        <v>512</v>
      </c>
      <c r="C39" s="545">
        <v>8</v>
      </c>
      <c r="D39" s="433">
        <v>241420</v>
      </c>
      <c r="E39" s="433" t="e">
        <f>#REF!+D39</f>
        <v>#REF!</v>
      </c>
      <c r="F39" s="38"/>
      <c r="G39" s="37"/>
    </row>
    <row r="40" spans="1:7" x14ac:dyDescent="0.25">
      <c r="A40" s="21" t="s">
        <v>28</v>
      </c>
      <c r="B40" s="558">
        <v>513</v>
      </c>
      <c r="C40" s="545">
        <v>11</v>
      </c>
      <c r="D40" s="433">
        <v>331952.5</v>
      </c>
      <c r="E40" s="433" t="e">
        <f>#REF!+D40</f>
        <v>#REF!</v>
      </c>
      <c r="F40" s="38"/>
      <c r="G40" s="37"/>
    </row>
    <row r="41" spans="1:7" x14ac:dyDescent="0.25">
      <c r="A41" s="21" t="s">
        <v>29</v>
      </c>
      <c r="B41" s="558">
        <v>516</v>
      </c>
      <c r="C41" s="545">
        <v>9</v>
      </c>
      <c r="D41" s="433">
        <v>271597.5</v>
      </c>
      <c r="E41" s="433" t="e">
        <f>#REF!+D41</f>
        <v>#REF!</v>
      </c>
      <c r="F41" s="38"/>
      <c r="G41" s="37"/>
    </row>
    <row r="42" spans="1:7" x14ac:dyDescent="0.25">
      <c r="A42" s="21" t="s">
        <v>30</v>
      </c>
      <c r="B42" s="558">
        <v>527</v>
      </c>
      <c r="C42" s="545">
        <v>9</v>
      </c>
      <c r="D42" s="433">
        <v>271597.5</v>
      </c>
      <c r="E42" s="433" t="e">
        <f>#REF!+D42</f>
        <v>#REF!</v>
      </c>
      <c r="F42" s="38"/>
      <c r="G42" s="37"/>
    </row>
    <row r="43" spans="1:7" x14ac:dyDescent="0.25">
      <c r="A43" s="21" t="s">
        <v>38</v>
      </c>
      <c r="B43" s="558">
        <v>528</v>
      </c>
      <c r="C43" s="545">
        <v>24</v>
      </c>
      <c r="D43" s="433">
        <v>724260</v>
      </c>
      <c r="E43" s="433" t="e">
        <f>#REF!+D43</f>
        <v>#REF!</v>
      </c>
      <c r="F43" s="38"/>
      <c r="G43" s="37"/>
    </row>
    <row r="44" spans="1:7" x14ac:dyDescent="0.25">
      <c r="A44" s="21" t="s">
        <v>49</v>
      </c>
      <c r="B44" s="558">
        <v>557</v>
      </c>
      <c r="C44" s="545">
        <v>11</v>
      </c>
      <c r="D44" s="433">
        <v>331952.5</v>
      </c>
      <c r="E44" s="433" t="e">
        <f>#REF!+D44</f>
        <v>#REF!</v>
      </c>
      <c r="F44" s="38"/>
      <c r="G44" s="37"/>
    </row>
    <row r="45" spans="1:7" x14ac:dyDescent="0.25">
      <c r="A45" s="21" t="s">
        <v>31</v>
      </c>
      <c r="B45" s="558">
        <v>569</v>
      </c>
      <c r="C45" s="545">
        <v>16</v>
      </c>
      <c r="D45" s="433">
        <v>482840</v>
      </c>
      <c r="E45" s="433" t="e">
        <f>#REF!+D45</f>
        <v>#REF!</v>
      </c>
      <c r="F45" s="38"/>
      <c r="G45" s="37"/>
    </row>
    <row r="46" spans="1:7" x14ac:dyDescent="0.25">
      <c r="A46" s="21" t="s">
        <v>32</v>
      </c>
      <c r="B46" s="558">
        <v>570</v>
      </c>
      <c r="C46" s="545">
        <v>12</v>
      </c>
      <c r="D46" s="433">
        <v>362130</v>
      </c>
      <c r="E46" s="433" t="e">
        <f>#REF!+D46</f>
        <v>#REF!</v>
      </c>
      <c r="F46" s="38"/>
      <c r="G46" s="37"/>
    </row>
    <row r="47" spans="1:7" x14ac:dyDescent="0.25">
      <c r="A47" s="21" t="s">
        <v>33</v>
      </c>
      <c r="B47" s="558">
        <v>571</v>
      </c>
      <c r="C47" s="545">
        <v>12</v>
      </c>
      <c r="D47" s="433">
        <v>362130</v>
      </c>
      <c r="E47" s="433" t="e">
        <f>#REF!+D47</f>
        <v>#REF!</v>
      </c>
      <c r="F47" s="38"/>
      <c r="G47" s="37"/>
    </row>
    <row r="48" spans="1:7" x14ac:dyDescent="0.25">
      <c r="A48" s="21" t="s">
        <v>34</v>
      </c>
      <c r="B48" s="558">
        <v>572</v>
      </c>
      <c r="C48" s="545">
        <v>9</v>
      </c>
      <c r="D48" s="433">
        <v>271597.5</v>
      </c>
      <c r="E48" s="433" t="e">
        <f>#REF!+D48</f>
        <v>#REF!</v>
      </c>
      <c r="F48" s="38"/>
      <c r="G48" s="37"/>
    </row>
    <row r="49" spans="1:7" x14ac:dyDescent="0.25">
      <c r="A49" s="21" t="s">
        <v>40</v>
      </c>
      <c r="B49" s="558">
        <v>574</v>
      </c>
      <c r="C49" s="545">
        <v>19</v>
      </c>
      <c r="D49" s="433">
        <v>573372.5</v>
      </c>
      <c r="E49" s="433" t="e">
        <f>#REF!+D49</f>
        <v>#REF!</v>
      </c>
      <c r="F49" s="38"/>
      <c r="G49" s="37"/>
    </row>
    <row r="50" spans="1:7" x14ac:dyDescent="0.25">
      <c r="A50" s="21" t="s">
        <v>37</v>
      </c>
      <c r="B50" s="558">
        <v>591</v>
      </c>
      <c r="C50" s="545">
        <v>8</v>
      </c>
      <c r="D50" s="433">
        <v>241420</v>
      </c>
      <c r="E50" s="433" t="e">
        <f>#REF!+D50</f>
        <v>#REF!</v>
      </c>
      <c r="F50" s="38"/>
      <c r="G50" s="37"/>
    </row>
    <row r="51" spans="1:7" x14ac:dyDescent="0.25">
      <c r="A51" s="21" t="s">
        <v>36</v>
      </c>
      <c r="B51" s="558">
        <v>593</v>
      </c>
      <c r="C51" s="545">
        <v>9</v>
      </c>
      <c r="D51" s="433">
        <v>271597.5</v>
      </c>
      <c r="E51" s="433" t="e">
        <f>#REF!+D51</f>
        <v>#REF!</v>
      </c>
      <c r="F51" s="38"/>
      <c r="G51" s="37"/>
    </row>
    <row r="52" spans="1:7" x14ac:dyDescent="0.25">
      <c r="A52" s="21" t="s">
        <v>42</v>
      </c>
      <c r="B52" s="558">
        <v>625</v>
      </c>
      <c r="C52" s="545">
        <v>15</v>
      </c>
      <c r="D52" s="433">
        <v>452662.5</v>
      </c>
      <c r="E52" s="433" t="e">
        <f>#REF!+D52</f>
        <v>#REF!</v>
      </c>
      <c r="F52" s="38"/>
      <c r="G52" s="37"/>
    </row>
    <row r="53" spans="1:7" x14ac:dyDescent="0.25">
      <c r="A53" s="21" t="s">
        <v>63</v>
      </c>
      <c r="B53" s="558">
        <v>627</v>
      </c>
      <c r="C53" s="545">
        <v>14</v>
      </c>
      <c r="D53" s="433">
        <v>422485</v>
      </c>
      <c r="E53" s="433" t="e">
        <f>#REF!+D53</f>
        <v>#REF!</v>
      </c>
      <c r="F53" s="38"/>
      <c r="G53" s="37"/>
    </row>
    <row r="54" spans="1:7" x14ac:dyDescent="0.25">
      <c r="A54" s="21" t="s">
        <v>50</v>
      </c>
      <c r="B54" s="558">
        <v>639</v>
      </c>
      <c r="C54" s="545">
        <v>13</v>
      </c>
      <c r="D54" s="433">
        <v>392307.5</v>
      </c>
      <c r="E54" s="433" t="e">
        <f>#REF!+D54</f>
        <v>#REF!</v>
      </c>
      <c r="F54" s="38"/>
      <c r="G54" s="37"/>
    </row>
    <row r="55" spans="1:7" x14ac:dyDescent="0.25">
      <c r="A55" s="21" t="s">
        <v>59</v>
      </c>
      <c r="B55" s="558">
        <v>641</v>
      </c>
      <c r="C55" s="545">
        <v>13</v>
      </c>
      <c r="D55" s="433">
        <v>392307.5</v>
      </c>
      <c r="E55" s="433" t="e">
        <f>#REF!+D55</f>
        <v>#REF!</v>
      </c>
      <c r="F55" s="38"/>
      <c r="G55" s="37"/>
    </row>
    <row r="56" spans="1:7" x14ac:dyDescent="0.25">
      <c r="A56" s="21" t="s">
        <v>51</v>
      </c>
      <c r="B56" s="558">
        <v>667</v>
      </c>
      <c r="C56" s="545">
        <v>16</v>
      </c>
      <c r="D56" s="433">
        <v>482840</v>
      </c>
      <c r="E56" s="433" t="e">
        <f>#REF!+D56</f>
        <v>#REF!</v>
      </c>
      <c r="F56" s="38"/>
      <c r="G56" s="37"/>
    </row>
    <row r="57" spans="1:7" x14ac:dyDescent="0.25">
      <c r="A57" s="29" t="s">
        <v>62</v>
      </c>
      <c r="B57" s="558">
        <v>689</v>
      </c>
      <c r="C57" s="545">
        <v>1</v>
      </c>
      <c r="D57" s="433">
        <v>30177.5</v>
      </c>
      <c r="E57" s="433" t="e">
        <f>#REF!+D57</f>
        <v>#REF!</v>
      </c>
      <c r="F57" s="38"/>
      <c r="G57" s="37"/>
    </row>
    <row r="58" spans="1:7" x14ac:dyDescent="0.25">
      <c r="B58" s="558">
        <v>690</v>
      </c>
      <c r="C58" s="545">
        <v>14</v>
      </c>
      <c r="D58" s="433">
        <v>422485</v>
      </c>
      <c r="E58" s="433" t="e">
        <f>#REF!+D58</f>
        <v>#REF!</v>
      </c>
      <c r="F58" s="38"/>
      <c r="G58" s="37"/>
    </row>
    <row r="59" spans="1:7" x14ac:dyDescent="0.25">
      <c r="B59" s="558">
        <v>691</v>
      </c>
      <c r="C59" s="545">
        <v>12</v>
      </c>
      <c r="D59" s="433">
        <v>362130</v>
      </c>
      <c r="E59" s="433" t="e">
        <f>#REF!+D59</f>
        <v>#REF!</v>
      </c>
      <c r="F59" s="38"/>
      <c r="G59" s="37"/>
    </row>
    <row r="60" spans="1:7" x14ac:dyDescent="0.25">
      <c r="A60" s="21" t="s">
        <v>55</v>
      </c>
      <c r="B60" s="559" t="s">
        <v>93</v>
      </c>
      <c r="C60" s="545">
        <v>5</v>
      </c>
      <c r="D60" s="433">
        <v>150887.5</v>
      </c>
      <c r="E60" s="433" t="e">
        <f>#REF!+D60</f>
        <v>#REF!</v>
      </c>
      <c r="F60" s="38"/>
      <c r="G60" s="37"/>
    </row>
    <row r="61" spans="1:7" x14ac:dyDescent="0.25">
      <c r="A61" s="21" t="s">
        <v>61</v>
      </c>
      <c r="B61" s="559" t="s">
        <v>94</v>
      </c>
      <c r="C61" s="545">
        <v>5</v>
      </c>
      <c r="D61" s="433">
        <v>150887.5</v>
      </c>
      <c r="E61" s="433" t="e">
        <f>#REF!+D61</f>
        <v>#REF!</v>
      </c>
      <c r="F61" s="38"/>
      <c r="G61" s="37"/>
    </row>
    <row r="62" spans="1:7" ht="16.95" customHeight="1" x14ac:dyDescent="0.25">
      <c r="A62" s="21" t="s">
        <v>95</v>
      </c>
      <c r="B62" s="559" t="s">
        <v>96</v>
      </c>
      <c r="C62" s="545">
        <v>11</v>
      </c>
      <c r="D62" s="433">
        <v>331952.5</v>
      </c>
      <c r="E62" s="433" t="e">
        <f>#REF!+D62</f>
        <v>#REF!</v>
      </c>
      <c r="F62" s="38"/>
      <c r="G62" s="37"/>
    </row>
    <row r="63" spans="1:7" x14ac:dyDescent="0.25">
      <c r="A63" s="21" t="s">
        <v>52</v>
      </c>
      <c r="B63" s="559" t="s">
        <v>97</v>
      </c>
      <c r="C63" s="545">
        <v>12</v>
      </c>
      <c r="D63" s="433">
        <v>362130</v>
      </c>
      <c r="E63" s="433" t="e">
        <f>#REF!+D63</f>
        <v>#REF!</v>
      </c>
      <c r="F63" s="38"/>
      <c r="G63" s="37"/>
    </row>
    <row r="64" spans="1:7" x14ac:dyDescent="0.25">
      <c r="A64" s="21" t="s">
        <v>57</v>
      </c>
      <c r="B64" s="559" t="s">
        <v>98</v>
      </c>
      <c r="C64" s="545">
        <v>16</v>
      </c>
      <c r="D64" s="433">
        <v>482840</v>
      </c>
      <c r="E64" s="433" t="e">
        <f>#REF!+D64</f>
        <v>#REF!</v>
      </c>
      <c r="F64" s="38"/>
      <c r="G64" s="37"/>
    </row>
    <row r="65" spans="1:7" x14ac:dyDescent="0.25">
      <c r="A65" s="21" t="s">
        <v>99</v>
      </c>
      <c r="B65" s="559" t="s">
        <v>100</v>
      </c>
      <c r="C65" s="545">
        <v>3</v>
      </c>
      <c r="D65" s="433">
        <v>90532.5</v>
      </c>
      <c r="E65" s="433" t="e">
        <f>#REF!+D65</f>
        <v>#REF!</v>
      </c>
      <c r="F65" s="38"/>
      <c r="G65" s="37"/>
    </row>
    <row r="66" spans="1:7" ht="13.2" customHeight="1" x14ac:dyDescent="0.25">
      <c r="A66" s="21" t="s">
        <v>147</v>
      </c>
      <c r="B66" s="559" t="s">
        <v>101</v>
      </c>
      <c r="C66" s="545">
        <v>8</v>
      </c>
      <c r="D66" s="433">
        <v>241420</v>
      </c>
      <c r="E66" s="433" t="e">
        <f>#REF!+D66</f>
        <v>#REF!</v>
      </c>
      <c r="F66" s="38"/>
      <c r="G66" s="37"/>
    </row>
    <row r="67" spans="1:7" x14ac:dyDescent="0.25">
      <c r="A67" s="21" t="s">
        <v>148</v>
      </c>
      <c r="B67" s="559" t="s">
        <v>102</v>
      </c>
      <c r="C67" s="545">
        <v>7</v>
      </c>
      <c r="D67" s="433">
        <v>211242.5</v>
      </c>
      <c r="E67" s="433" t="e">
        <f>#REF!+D67</f>
        <v>#REF!</v>
      </c>
      <c r="F67" s="38"/>
      <c r="G67" s="37"/>
    </row>
    <row r="68" spans="1:7" x14ac:dyDescent="0.25">
      <c r="A68" s="21" t="s">
        <v>149</v>
      </c>
      <c r="B68" s="559" t="s">
        <v>103</v>
      </c>
      <c r="C68" s="545">
        <v>2</v>
      </c>
      <c r="D68" s="433">
        <v>60355</v>
      </c>
      <c r="E68" s="433" t="e">
        <f>#REF!+D68</f>
        <v>#REF!</v>
      </c>
      <c r="F68" s="38"/>
      <c r="G68" s="37"/>
    </row>
    <row r="69" spans="1:7" x14ac:dyDescent="0.25">
      <c r="A69" s="21" t="s">
        <v>56</v>
      </c>
      <c r="B69" s="559" t="s">
        <v>69</v>
      </c>
      <c r="C69" s="545">
        <v>3</v>
      </c>
      <c r="D69" s="433">
        <v>90532.5</v>
      </c>
      <c r="E69" s="433" t="e">
        <f>#REF!+D69</f>
        <v>#REF!</v>
      </c>
      <c r="F69" s="38"/>
      <c r="G69" s="37"/>
    </row>
    <row r="70" spans="1:7" ht="30.75" customHeight="1" x14ac:dyDescent="0.25">
      <c r="A70" s="21" t="s">
        <v>53</v>
      </c>
      <c r="B70" s="560" t="s">
        <v>104</v>
      </c>
      <c r="C70" s="545">
        <v>8</v>
      </c>
      <c r="D70" s="433">
        <v>241420</v>
      </c>
      <c r="E70" s="433" t="e">
        <f>#REF!+D70</f>
        <v>#REF!</v>
      </c>
      <c r="F70" s="38"/>
      <c r="G70" s="37"/>
    </row>
    <row r="71" spans="1:7" x14ac:dyDescent="0.25">
      <c r="A71" s="21" t="s">
        <v>58</v>
      </c>
      <c r="B71" s="559" t="s">
        <v>105</v>
      </c>
      <c r="C71" s="545">
        <v>6</v>
      </c>
      <c r="D71" s="433">
        <v>181065</v>
      </c>
      <c r="E71" s="433" t="e">
        <f>#REF!+D71</f>
        <v>#REF!</v>
      </c>
      <c r="F71" s="38"/>
      <c r="G71" s="37"/>
    </row>
    <row r="72" spans="1:7" ht="27.75" customHeight="1" x14ac:dyDescent="0.25">
      <c r="A72" s="21" t="s">
        <v>54</v>
      </c>
      <c r="B72" s="560" t="s">
        <v>106</v>
      </c>
      <c r="C72" s="545">
        <v>12</v>
      </c>
      <c r="D72" s="433">
        <v>362130</v>
      </c>
      <c r="E72" s="433" t="e">
        <f>#REF!+D72</f>
        <v>#REF!</v>
      </c>
      <c r="F72" s="38"/>
      <c r="G72" s="37"/>
    </row>
    <row r="73" spans="1:7" x14ac:dyDescent="0.25">
      <c r="A73" s="21" t="s">
        <v>107</v>
      </c>
      <c r="B73" s="559" t="s">
        <v>108</v>
      </c>
      <c r="C73" s="545">
        <v>4</v>
      </c>
      <c r="D73" s="433">
        <v>120710</v>
      </c>
      <c r="E73" s="433" t="e">
        <f>#REF!+D73</f>
        <v>#REF!</v>
      </c>
      <c r="F73" s="38"/>
      <c r="G73" s="37"/>
    </row>
    <row r="74" spans="1:7" s="35" customFormat="1" ht="30.6" customHeight="1" thickBot="1" x14ac:dyDescent="0.35">
      <c r="A74" s="30"/>
      <c r="B74" s="561" t="s">
        <v>91</v>
      </c>
      <c r="C74" s="551">
        <v>726</v>
      </c>
      <c r="D74" s="409">
        <v>21908865</v>
      </c>
      <c r="E74" s="409" t="e">
        <f>#REF!+D74</f>
        <v>#REF!</v>
      </c>
    </row>
  </sheetData>
  <autoFilter ref="A2:E74" xr:uid="{00000000-0009-0000-0000-000000000000}"/>
  <pageMargins left="0" right="0" top="0" bottom="0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workbookViewId="0">
      <selection activeCell="B44" sqref="A44:XFD44"/>
    </sheetView>
  </sheetViews>
  <sheetFormatPr defaultRowHeight="14.4" x14ac:dyDescent="0.3"/>
  <cols>
    <col min="1" max="1" width="33.33203125" customWidth="1"/>
    <col min="2" max="2" width="13.44140625" customWidth="1"/>
    <col min="3" max="3" width="11" hidden="1" customWidth="1"/>
  </cols>
  <sheetData>
    <row r="1" spans="1:4" ht="46.8" x14ac:dyDescent="0.3">
      <c r="A1" s="158" t="s">
        <v>142</v>
      </c>
      <c r="B1" s="158" t="s">
        <v>143</v>
      </c>
      <c r="C1" s="165" t="s">
        <v>138</v>
      </c>
      <c r="D1" s="158" t="s">
        <v>146</v>
      </c>
    </row>
    <row r="2" spans="1:4" ht="27.6" x14ac:dyDescent="0.3">
      <c r="A2" s="168" t="s">
        <v>147</v>
      </c>
      <c r="B2" s="160">
        <v>12</v>
      </c>
      <c r="C2" s="166">
        <v>334140</v>
      </c>
      <c r="D2" s="161">
        <f>ROUNDUP(C2/1000,1)</f>
        <v>334.20000000000005</v>
      </c>
    </row>
    <row r="3" spans="1:4" ht="27.6" x14ac:dyDescent="0.3">
      <c r="A3" s="168" t="s">
        <v>148</v>
      </c>
      <c r="B3" s="160">
        <v>14</v>
      </c>
      <c r="C3" s="166">
        <v>389830</v>
      </c>
      <c r="D3" s="161">
        <f>ROUNDUP(C3/1000,1)</f>
        <v>389.90000000000003</v>
      </c>
    </row>
    <row r="4" spans="1:4" ht="41.4" x14ac:dyDescent="0.3">
      <c r="A4" s="168" t="s">
        <v>149</v>
      </c>
      <c r="B4" s="160">
        <v>2</v>
      </c>
      <c r="C4" s="166">
        <v>55690</v>
      </c>
      <c r="D4" s="161">
        <f>ROUNDUP(C4/1000,1)</f>
        <v>55.7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BH83"/>
  <sheetViews>
    <sheetView zoomScale="87" zoomScaleNormal="87" workbookViewId="0">
      <pane xSplit="2" ySplit="3" topLeftCell="AM37" activePane="bottomRight" state="frozen"/>
      <selection activeCell="B44" sqref="A44:XFD44"/>
      <selection pane="topRight" activeCell="B44" sqref="A44:XFD44"/>
      <selection pane="bottomLeft" activeCell="B44" sqref="A44:XFD44"/>
      <selection pane="bottomRight" activeCell="B44" sqref="A44:XFD44"/>
    </sheetView>
  </sheetViews>
  <sheetFormatPr defaultColWidth="8.33203125" defaultRowHeight="14.4" x14ac:dyDescent="0.3"/>
  <cols>
    <col min="1" max="1" width="3.33203125" style="21" customWidth="1"/>
    <col min="2" max="2" width="7" style="129" customWidth="1"/>
    <col min="3" max="3" width="7.5546875" style="6" customWidth="1"/>
    <col min="4" max="4" width="8.5546875" style="179" hidden="1" customWidth="1"/>
    <col min="5" max="5" width="8.5546875" style="179" bestFit="1" customWidth="1"/>
    <col min="6" max="6" width="6.6640625" style="7" hidden="1" customWidth="1"/>
    <col min="7" max="7" width="0" style="179" hidden="1" customWidth="1"/>
    <col min="8" max="8" width="11.109375" style="179" customWidth="1"/>
    <col min="9" max="9" width="6.44140625" style="7" hidden="1" customWidth="1"/>
    <col min="10" max="10" width="0" style="7" hidden="1" customWidth="1"/>
    <col min="11" max="13" width="8.33203125" style="7"/>
    <col min="14" max="14" width="11.33203125" style="8" hidden="1" customWidth="1"/>
    <col min="15" max="15" width="13.33203125" style="179" hidden="1" customWidth="1"/>
    <col min="16" max="17" width="12.33203125" style="179" hidden="1" customWidth="1"/>
    <col min="18" max="18" width="0" style="179" hidden="1" customWidth="1"/>
    <col min="19" max="19" width="7.44140625" style="179" hidden="1" customWidth="1"/>
    <col min="20" max="20" width="14" style="179" hidden="1" customWidth="1"/>
    <col min="21" max="21" width="12" style="179" hidden="1" customWidth="1"/>
    <col min="22" max="23" width="12.88671875" style="179" hidden="1" customWidth="1"/>
    <col min="24" max="24" width="10.5546875" style="7" hidden="1" customWidth="1"/>
    <col min="25" max="25" width="10.6640625" style="7" hidden="1" customWidth="1"/>
    <col min="26" max="26" width="12.33203125" style="7" hidden="1" customWidth="1"/>
    <col min="27" max="27" width="12.88671875" style="194" bestFit="1" customWidth="1"/>
    <col min="28" max="28" width="11.88671875" style="194" bestFit="1" customWidth="1"/>
    <col min="29" max="29" width="15.44140625" style="7" customWidth="1"/>
    <col min="30" max="30" width="16" style="238" customWidth="1"/>
    <col min="31" max="31" width="8.33203125" style="137" hidden="1" customWidth="1"/>
    <col min="32" max="32" width="9.5546875" style="179" customWidth="1"/>
    <col min="33" max="33" width="10.44140625" style="256" hidden="1" customWidth="1"/>
    <col min="34" max="34" width="13.44140625" style="272" customWidth="1"/>
    <col min="35" max="35" width="11.44140625" style="272" customWidth="1"/>
    <col min="36" max="36" width="13.33203125" style="7" customWidth="1"/>
    <col min="37" max="37" width="14.33203125" style="7" customWidth="1"/>
    <col min="38" max="38" width="0" style="7" hidden="1" customWidth="1"/>
    <col min="39" max="39" width="12.44140625" style="7" customWidth="1"/>
    <col min="40" max="40" width="14.6640625" style="7" customWidth="1"/>
    <col min="41" max="41" width="12.44140625" style="7" bestFit="1" customWidth="1"/>
    <col min="42" max="43" width="2" style="315" customWidth="1"/>
    <col min="44" max="45" width="2" style="309" customWidth="1"/>
    <col min="46" max="46" width="0.6640625" style="319" customWidth="1"/>
    <col min="47" max="47" width="9.33203125" bestFit="1" customWidth="1"/>
    <col min="48" max="48" width="0.6640625" style="320" customWidth="1"/>
    <col min="49" max="49" width="13" style="277" customWidth="1"/>
    <col min="50" max="50" width="14.6640625" style="8" customWidth="1"/>
    <col min="51" max="51" width="14.33203125" style="282" customWidth="1"/>
    <col min="52" max="52" width="8.33203125" style="293"/>
    <col min="53" max="53" width="14.44140625" style="288" customWidth="1"/>
    <col min="54" max="54" width="9.33203125" style="288" customWidth="1"/>
    <col min="55" max="55" width="12" style="289" customWidth="1"/>
    <col min="56" max="56" width="11.44140625" style="7" customWidth="1"/>
    <col min="57" max="57" width="8.33203125" style="7" customWidth="1"/>
    <col min="58" max="58" width="8.33203125" style="7"/>
    <col min="59" max="59" width="13.33203125" style="7" customWidth="1"/>
    <col min="60" max="16384" width="8.33203125" style="7"/>
  </cols>
  <sheetData>
    <row r="1" spans="1:59" ht="13.95" customHeight="1" x14ac:dyDescent="0.3">
      <c r="A1" s="180" t="s">
        <v>78</v>
      </c>
      <c r="R1" s="594" t="s">
        <v>79</v>
      </c>
      <c r="S1" s="595"/>
      <c r="T1" s="595"/>
      <c r="U1" s="595"/>
      <c r="V1" s="595"/>
      <c r="W1" s="595"/>
      <c r="AA1" s="605" t="s">
        <v>132</v>
      </c>
      <c r="AB1" s="606"/>
      <c r="AC1" s="607" t="s">
        <v>133</v>
      </c>
      <c r="AM1" s="198"/>
      <c r="AN1" s="198"/>
      <c r="AO1" s="610" t="s">
        <v>133</v>
      </c>
      <c r="AP1" s="308" t="s">
        <v>153</v>
      </c>
      <c r="AQ1" s="309"/>
      <c r="AR1" s="614" t="s">
        <v>133</v>
      </c>
      <c r="AS1" s="614" t="s">
        <v>141</v>
      </c>
      <c r="AT1" s="316"/>
      <c r="AW1" s="277">
        <v>212</v>
      </c>
    </row>
    <row r="2" spans="1:59" s="10" customFormat="1" ht="22.2" customHeight="1" thickBot="1" x14ac:dyDescent="0.35">
      <c r="A2" s="9"/>
      <c r="B2" s="130"/>
      <c r="C2" s="11"/>
      <c r="G2" s="10" t="s">
        <v>80</v>
      </c>
      <c r="H2" s="10" t="s">
        <v>80</v>
      </c>
      <c r="J2" s="10">
        <f>11138*2.5</f>
        <v>27845</v>
      </c>
      <c r="K2" s="10">
        <f>11138*2.5</f>
        <v>27845</v>
      </c>
      <c r="N2" s="12"/>
      <c r="P2" s="13">
        <v>0.30199999999999999</v>
      </c>
      <c r="T2" s="10">
        <v>262</v>
      </c>
      <c r="U2" s="10">
        <v>262</v>
      </c>
      <c r="V2" s="10">
        <v>262</v>
      </c>
      <c r="AA2" s="601" t="s">
        <v>129</v>
      </c>
      <c r="AB2" s="602"/>
      <c r="AC2" s="608"/>
      <c r="AD2" s="239"/>
      <c r="AE2" s="138"/>
      <c r="AG2" s="257"/>
      <c r="AH2" s="273"/>
      <c r="AI2" s="273"/>
      <c r="AM2" s="617" t="s">
        <v>176</v>
      </c>
      <c r="AN2" s="618"/>
      <c r="AO2" s="610"/>
      <c r="AP2" s="619" t="s">
        <v>139</v>
      </c>
      <c r="AQ2" s="619"/>
      <c r="AR2" s="615"/>
      <c r="AS2" s="615"/>
      <c r="AT2" s="316"/>
      <c r="AV2" s="321"/>
      <c r="AW2" s="12"/>
      <c r="AX2" s="12" t="s">
        <v>155</v>
      </c>
      <c r="AY2" s="283"/>
      <c r="AZ2" s="294"/>
      <c r="BA2" s="290"/>
      <c r="BB2" s="290"/>
      <c r="BC2" s="291"/>
    </row>
    <row r="3" spans="1:59" s="10" customFormat="1" ht="61.95" customHeight="1" x14ac:dyDescent="0.3">
      <c r="A3" s="9"/>
      <c r="B3" s="131"/>
      <c r="C3" s="15" t="s">
        <v>122</v>
      </c>
      <c r="D3" s="16" t="s">
        <v>81</v>
      </c>
      <c r="E3" s="97" t="s">
        <v>123</v>
      </c>
      <c r="F3" s="102" t="s">
        <v>125</v>
      </c>
      <c r="G3" s="17" t="s">
        <v>127</v>
      </c>
      <c r="H3" s="98" t="s">
        <v>128</v>
      </c>
      <c r="I3" s="102" t="s">
        <v>125</v>
      </c>
      <c r="J3" s="17" t="s">
        <v>83</v>
      </c>
      <c r="K3" s="98" t="s">
        <v>124</v>
      </c>
      <c r="L3" s="98" t="s">
        <v>151</v>
      </c>
      <c r="M3" s="127" t="s">
        <v>126</v>
      </c>
      <c r="N3" s="18" t="s">
        <v>84</v>
      </c>
      <c r="O3" s="19" t="s">
        <v>85</v>
      </c>
      <c r="P3" s="19" t="s">
        <v>86</v>
      </c>
      <c r="Q3" s="19" t="s">
        <v>87</v>
      </c>
      <c r="R3" s="20" t="s">
        <v>88</v>
      </c>
      <c r="S3" s="20" t="s">
        <v>89</v>
      </c>
      <c r="T3" s="20" t="s">
        <v>90</v>
      </c>
      <c r="U3" s="20" t="s">
        <v>86</v>
      </c>
      <c r="V3" s="20" t="s">
        <v>91</v>
      </c>
      <c r="W3" s="20" t="s">
        <v>92</v>
      </c>
      <c r="AA3" s="248" t="s">
        <v>130</v>
      </c>
      <c r="AB3" s="241" t="s">
        <v>131</v>
      </c>
      <c r="AC3" s="609"/>
      <c r="AD3" s="244" t="s">
        <v>138</v>
      </c>
      <c r="AE3" s="325" t="s">
        <v>134</v>
      </c>
      <c r="AF3" s="332" t="s">
        <v>158</v>
      </c>
      <c r="AG3" s="333" t="s">
        <v>137</v>
      </c>
      <c r="AH3" s="334" t="s">
        <v>156</v>
      </c>
      <c r="AI3" s="335" t="s">
        <v>157</v>
      </c>
      <c r="AJ3" s="329" t="s">
        <v>152</v>
      </c>
      <c r="AK3" s="148" t="s">
        <v>140</v>
      </c>
      <c r="AM3" s="199">
        <v>212</v>
      </c>
      <c r="AN3" s="199">
        <v>213</v>
      </c>
      <c r="AO3" s="610"/>
      <c r="AP3" s="310">
        <v>212</v>
      </c>
      <c r="AQ3" s="310">
        <v>213</v>
      </c>
      <c r="AR3" s="616"/>
      <c r="AS3" s="616"/>
      <c r="AT3" s="316"/>
      <c r="AV3" s="321"/>
      <c r="AW3" s="278" t="s">
        <v>161</v>
      </c>
      <c r="AX3" s="278" t="s">
        <v>162</v>
      </c>
      <c r="AY3" s="284" t="s">
        <v>163</v>
      </c>
      <c r="AZ3" s="295"/>
      <c r="BA3" s="300" t="s">
        <v>164</v>
      </c>
      <c r="BB3" s="301"/>
      <c r="BC3" s="302" t="s">
        <v>165</v>
      </c>
      <c r="BD3" s="297"/>
    </row>
    <row r="4" spans="1:59" ht="15" customHeight="1" x14ac:dyDescent="0.3">
      <c r="A4" s="21" t="s">
        <v>9</v>
      </c>
      <c r="B4" s="132">
        <v>13</v>
      </c>
      <c r="C4" s="95">
        <v>4</v>
      </c>
      <c r="D4" s="106">
        <v>59</v>
      </c>
      <c r="E4" s="101">
        <v>59</v>
      </c>
      <c r="F4" s="103">
        <f t="shared" ref="F4:F35" si="0">E4-D4</f>
        <v>0</v>
      </c>
      <c r="G4" s="111">
        <v>10</v>
      </c>
      <c r="H4" s="104">
        <v>11</v>
      </c>
      <c r="I4" s="105">
        <f t="shared" ref="I4:I35" si="1">H4-G4</f>
        <v>1</v>
      </c>
      <c r="J4" s="22">
        <f t="shared" ref="J4:J35" si="2">ROUNDUP(D4/5,0)</f>
        <v>12</v>
      </c>
      <c r="K4" s="99">
        <f t="shared" ref="K4:K35" si="3">ROUNDUP(E4/5,0)</f>
        <v>12</v>
      </c>
      <c r="L4" s="169">
        <f t="shared" ref="L4:L35" si="4">K4-H4</f>
        <v>1</v>
      </c>
      <c r="M4" s="126">
        <f t="shared" ref="M4:M26" si="5">IF(H4&gt;K4,K4,H4)</f>
        <v>11</v>
      </c>
      <c r="N4" s="23">
        <v>10</v>
      </c>
      <c r="O4" s="119">
        <f t="shared" ref="O4:O35" si="6">N4*$J$2</f>
        <v>278450</v>
      </c>
      <c r="P4" s="119">
        <f t="shared" ref="P4:P35" si="7">O4*$P$2</f>
        <v>84091.9</v>
      </c>
      <c r="Q4" s="119">
        <f t="shared" ref="Q4:Q35" si="8">O4+P4</f>
        <v>362541.9</v>
      </c>
      <c r="R4" s="24">
        <f t="shared" ref="R4:R35" si="9">N4/$N$76</f>
        <v>1.4749262536873156E-2</v>
      </c>
      <c r="S4" s="120" t="e">
        <f>ROUND(R4*#REF!,0)</f>
        <v>#REF!</v>
      </c>
      <c r="T4" s="121" t="e">
        <f t="shared" ref="T4:T35" si="10">S4*$J$2</f>
        <v>#REF!</v>
      </c>
      <c r="U4" s="121" t="e">
        <f t="shared" ref="U4:U35" si="11">ROUND(T4*$P$2,2)</f>
        <v>#REF!</v>
      </c>
      <c r="V4" s="121" t="e">
        <f t="shared" ref="V4:V35" si="12">T4+U4</f>
        <v>#REF!</v>
      </c>
      <c r="W4" s="122" t="e">
        <f t="shared" ref="W4:W35" si="13">IF(V4&gt;=-99,IF(V4&gt;0,ROUNDUP(V4/1000,1),0),ROUNDDOWN(V4/1000,1))*1000</f>
        <v>#REF!</v>
      </c>
      <c r="X4" s="38" t="e">
        <f>W4+'проезд Лизе к бюджету 2018'!L5</f>
        <v>#REF!</v>
      </c>
      <c r="Y4" s="37" t="e">
        <f>#REF!+#REF!</f>
        <v>#REF!</v>
      </c>
      <c r="Z4" s="37" t="e">
        <f t="shared" ref="Z4:Z35" si="14">X4-Y4</f>
        <v>#REF!</v>
      </c>
      <c r="AA4" s="249">
        <v>297160</v>
      </c>
      <c r="AB4" s="242">
        <v>89840</v>
      </c>
      <c r="AC4" s="253">
        <f t="shared" ref="AC4:AC35" si="15">AA4+AB4</f>
        <v>387000</v>
      </c>
      <c r="AD4" s="245">
        <f t="shared" ref="AD4:AD67" si="16">$K$2*M4</f>
        <v>306295</v>
      </c>
      <c r="AE4" s="326">
        <v>5800</v>
      </c>
      <c r="AF4" s="336">
        <v>28</v>
      </c>
      <c r="AG4" s="259">
        <v>23110.799999999999</v>
      </c>
      <c r="AH4" s="274">
        <v>28910.799999999999</v>
      </c>
      <c r="AI4" s="337"/>
      <c r="AJ4" s="330">
        <f t="shared" ref="AJ4:AJ35" si="17">(1450*AF4)+AD4+AH4</f>
        <v>375805.8</v>
      </c>
      <c r="AK4" s="143">
        <f t="shared" ref="AK4:AK35" si="18">AJ4-AA4</f>
        <v>78645.799999999988</v>
      </c>
      <c r="AL4" s="125">
        <f>AF4-'проезд Лизе к бюджету 2018'!B5</f>
        <v>26</v>
      </c>
      <c r="AM4" s="200">
        <f>AK4-AU4</f>
        <v>78735</v>
      </c>
      <c r="AN4" s="200">
        <f>-AB4+AI4</f>
        <v>-89840</v>
      </c>
      <c r="AO4" s="200">
        <f>SUM(AM4:AN4)</f>
        <v>-11105</v>
      </c>
      <c r="AP4" s="311">
        <f t="shared" ref="AP4:AP35" si="19">IF(AM4&gt;=-99,IF(AM4&gt;0,ROUNDUP(AM4/1000,1),0),ROUNDDOWN(AM4/1000,1))*1000</f>
        <v>78800</v>
      </c>
      <c r="AQ4" s="311">
        <f t="shared" ref="AQ4:AQ35" si="20">AN4</f>
        <v>-89840</v>
      </c>
      <c r="AR4" s="312">
        <f t="shared" ref="AR4:AR35" si="21">SUM(AP4:AQ4)</f>
        <v>-11040</v>
      </c>
      <c r="AS4" s="312">
        <f>AR4</f>
        <v>-11040</v>
      </c>
      <c r="AT4" s="317"/>
      <c r="AU4">
        <v>-89.200000000011642</v>
      </c>
      <c r="AW4" s="279">
        <f t="shared" ref="AW4:AW35" si="22">AC4+AO4</f>
        <v>375895</v>
      </c>
      <c r="AX4" s="280">
        <f>AD4</f>
        <v>306295</v>
      </c>
      <c r="AY4" s="285">
        <f t="shared" ref="AY4:AY35" si="23">AW4-AX4</f>
        <v>69600</v>
      </c>
      <c r="AZ4" s="296">
        <f t="shared" ref="AZ4:AZ35" si="24">AY4/1450/12</f>
        <v>4</v>
      </c>
      <c r="BA4" s="348">
        <f>ROUND(AZ4,0)*12</f>
        <v>48</v>
      </c>
      <c r="BB4" s="292">
        <v>1450</v>
      </c>
      <c r="BC4" s="303">
        <f t="shared" ref="BC4:BC35" si="25">BA4*BB4</f>
        <v>69600</v>
      </c>
      <c r="BD4" s="298">
        <f t="shared" ref="BD4:BD35" si="26">AY4-BC4</f>
        <v>0</v>
      </c>
      <c r="BE4" s="271">
        <f>BD4/BB4</f>
        <v>0</v>
      </c>
      <c r="BF4" s="37"/>
      <c r="BG4" s="37">
        <f>AX4+BC4</f>
        <v>375895</v>
      </c>
    </row>
    <row r="5" spans="1:59" x14ac:dyDescent="0.3">
      <c r="A5" s="21" t="s">
        <v>10</v>
      </c>
      <c r="B5" s="132">
        <v>14</v>
      </c>
      <c r="C5" s="95">
        <v>0</v>
      </c>
      <c r="D5" s="106">
        <v>39</v>
      </c>
      <c r="E5" s="101">
        <v>41</v>
      </c>
      <c r="F5" s="103">
        <f t="shared" si="0"/>
        <v>2</v>
      </c>
      <c r="G5" s="111">
        <v>7</v>
      </c>
      <c r="H5" s="104">
        <v>8</v>
      </c>
      <c r="I5" s="105">
        <f t="shared" si="1"/>
        <v>1</v>
      </c>
      <c r="J5" s="22">
        <f t="shared" si="2"/>
        <v>8</v>
      </c>
      <c r="K5" s="99">
        <f t="shared" si="3"/>
        <v>9</v>
      </c>
      <c r="L5" s="169">
        <f t="shared" si="4"/>
        <v>1</v>
      </c>
      <c r="M5" s="126">
        <f t="shared" si="5"/>
        <v>8</v>
      </c>
      <c r="N5" s="25">
        <v>7</v>
      </c>
      <c r="O5" s="119">
        <f t="shared" si="6"/>
        <v>194915</v>
      </c>
      <c r="P5" s="119">
        <f t="shared" si="7"/>
        <v>58864.33</v>
      </c>
      <c r="Q5" s="119">
        <f t="shared" si="8"/>
        <v>253779.33000000002</v>
      </c>
      <c r="R5" s="24">
        <f t="shared" si="9"/>
        <v>1.0324483775811209E-2</v>
      </c>
      <c r="S5" s="120" t="e">
        <f>ROUND(R5*#REF!,0)</f>
        <v>#REF!</v>
      </c>
      <c r="T5" s="121" t="e">
        <f t="shared" si="10"/>
        <v>#REF!</v>
      </c>
      <c r="U5" s="121" t="e">
        <f t="shared" si="11"/>
        <v>#REF!</v>
      </c>
      <c r="V5" s="121" t="e">
        <f t="shared" si="12"/>
        <v>#REF!</v>
      </c>
      <c r="W5" s="122" t="e">
        <f t="shared" si="13"/>
        <v>#REF!</v>
      </c>
      <c r="X5" s="38" t="e">
        <f>W5+'проезд Лизе к бюджету 2018'!L6</f>
        <v>#REF!</v>
      </c>
      <c r="Y5" s="37" t="e">
        <f>#REF!+#REF!</f>
        <v>#REF!</v>
      </c>
      <c r="Z5" s="37" t="e">
        <f t="shared" si="14"/>
        <v>#REF!</v>
      </c>
      <c r="AA5" s="249">
        <v>167070</v>
      </c>
      <c r="AB5" s="242">
        <v>50530</v>
      </c>
      <c r="AC5" s="253">
        <f t="shared" si="15"/>
        <v>217600</v>
      </c>
      <c r="AD5" s="245">
        <f t="shared" si="16"/>
        <v>222760</v>
      </c>
      <c r="AE5" s="326"/>
      <c r="AF5" s="338">
        <v>0</v>
      </c>
      <c r="AG5" s="259"/>
      <c r="AH5" s="274"/>
      <c r="AI5" s="337"/>
      <c r="AJ5" s="330">
        <f t="shared" si="17"/>
        <v>222760</v>
      </c>
      <c r="AK5" s="143">
        <f t="shared" si="18"/>
        <v>55690</v>
      </c>
      <c r="AL5" s="125">
        <f>AF5-'проезд Лизе к бюджету 2018'!B6</f>
        <v>-1</v>
      </c>
      <c r="AM5" s="200">
        <f t="shared" ref="AM5:AM68" si="27">AK5-AU5</f>
        <v>55690</v>
      </c>
      <c r="AN5" s="200">
        <f t="shared" ref="AN5:AN68" si="28">-AB5+AI5</f>
        <v>-50530</v>
      </c>
      <c r="AO5" s="200">
        <f t="shared" ref="AO5:AO68" si="29">SUM(AM5:AN5)</f>
        <v>5160</v>
      </c>
      <c r="AP5" s="311">
        <f t="shared" si="19"/>
        <v>55700</v>
      </c>
      <c r="AQ5" s="311">
        <f t="shared" si="20"/>
        <v>-50530</v>
      </c>
      <c r="AR5" s="312">
        <f t="shared" si="21"/>
        <v>5170</v>
      </c>
      <c r="AS5" s="312">
        <f t="shared" ref="AS5:AS68" si="30">AR5</f>
        <v>5170</v>
      </c>
      <c r="AT5" s="317"/>
      <c r="AU5">
        <v>0</v>
      </c>
      <c r="AW5" s="279">
        <f t="shared" si="22"/>
        <v>222760</v>
      </c>
      <c r="AX5" s="280">
        <f t="shared" ref="AX5:AX68" si="31">AD5</f>
        <v>222760</v>
      </c>
      <c r="AY5" s="285">
        <f t="shared" si="23"/>
        <v>0</v>
      </c>
      <c r="AZ5" s="296">
        <f t="shared" si="24"/>
        <v>0</v>
      </c>
      <c r="BA5" s="348">
        <f>ROUND(AZ5,0)*12</f>
        <v>0</v>
      </c>
      <c r="BB5" s="292">
        <v>1450</v>
      </c>
      <c r="BC5" s="303">
        <f t="shared" si="25"/>
        <v>0</v>
      </c>
      <c r="BD5" s="298">
        <f t="shared" si="26"/>
        <v>0</v>
      </c>
      <c r="BE5" s="271">
        <f t="shared" ref="BE5:BE35" si="32">BD5/BB5</f>
        <v>0</v>
      </c>
      <c r="BG5" s="37">
        <f t="shared" ref="BG5:BG68" si="33">AX5+BC5</f>
        <v>222760</v>
      </c>
    </row>
    <row r="6" spans="1:59" x14ac:dyDescent="0.3">
      <c r="A6" s="21" t="s">
        <v>44</v>
      </c>
      <c r="B6" s="132">
        <v>17</v>
      </c>
      <c r="C6" s="95">
        <v>3</v>
      </c>
      <c r="D6" s="106">
        <v>85</v>
      </c>
      <c r="E6" s="101">
        <v>77</v>
      </c>
      <c r="F6" s="103">
        <f t="shared" si="0"/>
        <v>-8</v>
      </c>
      <c r="G6" s="111">
        <v>15</v>
      </c>
      <c r="H6" s="104">
        <v>15</v>
      </c>
      <c r="I6" s="105">
        <f t="shared" si="1"/>
        <v>0</v>
      </c>
      <c r="J6" s="22">
        <f t="shared" si="2"/>
        <v>17</v>
      </c>
      <c r="K6" s="99">
        <f t="shared" si="3"/>
        <v>16</v>
      </c>
      <c r="L6" s="169">
        <f t="shared" si="4"/>
        <v>1</v>
      </c>
      <c r="M6" s="126">
        <f t="shared" si="5"/>
        <v>15</v>
      </c>
      <c r="N6" s="25">
        <v>15</v>
      </c>
      <c r="O6" s="119">
        <f t="shared" si="6"/>
        <v>417675</v>
      </c>
      <c r="P6" s="119">
        <f t="shared" si="7"/>
        <v>126137.84999999999</v>
      </c>
      <c r="Q6" s="119">
        <f t="shared" si="8"/>
        <v>543812.85</v>
      </c>
      <c r="R6" s="24">
        <f t="shared" si="9"/>
        <v>2.2123893805309734E-2</v>
      </c>
      <c r="S6" s="120" t="e">
        <f>ROUND(R6*#REF!,0)</f>
        <v>#REF!</v>
      </c>
      <c r="T6" s="121" t="e">
        <f t="shared" si="10"/>
        <v>#REF!</v>
      </c>
      <c r="U6" s="121" t="e">
        <f t="shared" si="11"/>
        <v>#REF!</v>
      </c>
      <c r="V6" s="121" t="e">
        <f t="shared" si="12"/>
        <v>#REF!</v>
      </c>
      <c r="W6" s="122" t="e">
        <f t="shared" si="13"/>
        <v>#REF!</v>
      </c>
      <c r="X6" s="38" t="e">
        <f>W6+'проезд Лизе к бюджету 2018'!L7</f>
        <v>#REF!</v>
      </c>
      <c r="Y6" s="37" t="e">
        <f>#REF!+#REF!</f>
        <v>#REF!</v>
      </c>
      <c r="Z6" s="37" t="e">
        <f t="shared" si="14"/>
        <v>#REF!</v>
      </c>
      <c r="AA6" s="249">
        <v>278670</v>
      </c>
      <c r="AB6" s="242">
        <v>84330</v>
      </c>
      <c r="AC6" s="253">
        <f t="shared" si="15"/>
        <v>363000</v>
      </c>
      <c r="AD6" s="245">
        <f t="shared" si="16"/>
        <v>417675</v>
      </c>
      <c r="AE6" s="326">
        <v>8700</v>
      </c>
      <c r="AF6" s="336">
        <v>39</v>
      </c>
      <c r="AG6" s="259">
        <v>34757</v>
      </c>
      <c r="AH6" s="274">
        <v>43457</v>
      </c>
      <c r="AI6" s="337"/>
      <c r="AJ6" s="330">
        <f t="shared" si="17"/>
        <v>517682</v>
      </c>
      <c r="AK6" s="143">
        <f t="shared" si="18"/>
        <v>239012</v>
      </c>
      <c r="AL6" s="125">
        <f>AF6-'проезд Лизе к бюджету 2018'!B7</f>
        <v>34</v>
      </c>
      <c r="AM6" s="200">
        <f t="shared" si="27"/>
        <v>239055</v>
      </c>
      <c r="AN6" s="200">
        <f t="shared" si="28"/>
        <v>-84330</v>
      </c>
      <c r="AO6" s="200">
        <f t="shared" si="29"/>
        <v>154725</v>
      </c>
      <c r="AP6" s="311">
        <f t="shared" si="19"/>
        <v>239100</v>
      </c>
      <c r="AQ6" s="311">
        <f t="shared" si="20"/>
        <v>-84330</v>
      </c>
      <c r="AR6" s="312">
        <f t="shared" si="21"/>
        <v>154770</v>
      </c>
      <c r="AS6" s="312">
        <f t="shared" si="30"/>
        <v>154770</v>
      </c>
      <c r="AT6" s="317"/>
      <c r="AU6">
        <v>-43</v>
      </c>
      <c r="AW6" s="279">
        <f t="shared" si="22"/>
        <v>517725</v>
      </c>
      <c r="AX6" s="280">
        <f t="shared" si="31"/>
        <v>417675</v>
      </c>
      <c r="AY6" s="285">
        <f t="shared" si="23"/>
        <v>100050</v>
      </c>
      <c r="AZ6" s="296">
        <f t="shared" si="24"/>
        <v>5.75</v>
      </c>
      <c r="BA6" s="348">
        <f>ROUND(AZ6,0)*12-3</f>
        <v>69</v>
      </c>
      <c r="BB6" s="292">
        <v>1450</v>
      </c>
      <c r="BC6" s="303">
        <f t="shared" si="25"/>
        <v>100050</v>
      </c>
      <c r="BD6" s="298">
        <f t="shared" si="26"/>
        <v>0</v>
      </c>
      <c r="BE6" s="271">
        <f t="shared" si="32"/>
        <v>0</v>
      </c>
      <c r="BG6" s="37">
        <f t="shared" si="33"/>
        <v>517725</v>
      </c>
    </row>
    <row r="7" spans="1:59" x14ac:dyDescent="0.3">
      <c r="A7" s="26" t="s">
        <v>6</v>
      </c>
      <c r="B7" s="132">
        <v>20</v>
      </c>
      <c r="C7" s="95">
        <v>4</v>
      </c>
      <c r="D7" s="106">
        <v>77</v>
      </c>
      <c r="E7" s="101">
        <v>78</v>
      </c>
      <c r="F7" s="103">
        <f t="shared" si="0"/>
        <v>1</v>
      </c>
      <c r="G7" s="111">
        <v>11</v>
      </c>
      <c r="H7" s="104">
        <v>10</v>
      </c>
      <c r="I7" s="105">
        <f t="shared" si="1"/>
        <v>-1</v>
      </c>
      <c r="J7" s="22">
        <f t="shared" si="2"/>
        <v>16</v>
      </c>
      <c r="K7" s="99">
        <f t="shared" si="3"/>
        <v>16</v>
      </c>
      <c r="L7" s="169">
        <f t="shared" si="4"/>
        <v>6</v>
      </c>
      <c r="M7" s="126">
        <f t="shared" si="5"/>
        <v>10</v>
      </c>
      <c r="N7" s="25">
        <v>11</v>
      </c>
      <c r="O7" s="119">
        <f t="shared" si="6"/>
        <v>306295</v>
      </c>
      <c r="P7" s="119">
        <f t="shared" si="7"/>
        <v>92501.09</v>
      </c>
      <c r="Q7" s="119">
        <f t="shared" si="8"/>
        <v>398796.08999999997</v>
      </c>
      <c r="R7" s="24">
        <f t="shared" si="9"/>
        <v>1.6224188790560472E-2</v>
      </c>
      <c r="S7" s="120" t="e">
        <f>ROUND(R7*#REF!,0)</f>
        <v>#REF!</v>
      </c>
      <c r="T7" s="121" t="e">
        <f t="shared" si="10"/>
        <v>#REF!</v>
      </c>
      <c r="U7" s="121" t="e">
        <f t="shared" si="11"/>
        <v>#REF!</v>
      </c>
      <c r="V7" s="121" t="e">
        <f t="shared" si="12"/>
        <v>#REF!</v>
      </c>
      <c r="W7" s="122" t="e">
        <f t="shared" si="13"/>
        <v>#REF!</v>
      </c>
      <c r="X7" s="38" t="e">
        <f>W7+'проезд Лизе к бюджету 2018'!L8</f>
        <v>#REF!</v>
      </c>
      <c r="Y7" s="37" t="e">
        <f>#REF!+#REF!</f>
        <v>#REF!</v>
      </c>
      <c r="Z7" s="37" t="e">
        <f t="shared" si="14"/>
        <v>#REF!</v>
      </c>
      <c r="AA7" s="249">
        <v>297160</v>
      </c>
      <c r="AB7" s="242">
        <v>89840</v>
      </c>
      <c r="AC7" s="253">
        <f t="shared" si="15"/>
        <v>387000</v>
      </c>
      <c r="AD7" s="245">
        <f t="shared" si="16"/>
        <v>278450</v>
      </c>
      <c r="AE7" s="326">
        <v>5800</v>
      </c>
      <c r="AF7" s="338">
        <v>32</v>
      </c>
      <c r="AG7" s="259">
        <v>23064.1</v>
      </c>
      <c r="AH7" s="274">
        <v>28864.1</v>
      </c>
      <c r="AI7" s="337"/>
      <c r="AJ7" s="330">
        <f t="shared" si="17"/>
        <v>353714.1</v>
      </c>
      <c r="AK7" s="143">
        <f t="shared" si="18"/>
        <v>56554.099999999977</v>
      </c>
      <c r="AL7" s="125">
        <f>AF7-'проезд Лизе к бюджету 2018'!B8</f>
        <v>28</v>
      </c>
      <c r="AM7" s="200">
        <f t="shared" si="27"/>
        <v>56690</v>
      </c>
      <c r="AN7" s="200">
        <f t="shared" si="28"/>
        <v>-89840</v>
      </c>
      <c r="AO7" s="200">
        <f t="shared" si="29"/>
        <v>-33150</v>
      </c>
      <c r="AP7" s="311">
        <f t="shared" si="19"/>
        <v>56700</v>
      </c>
      <c r="AQ7" s="311">
        <f t="shared" si="20"/>
        <v>-89840</v>
      </c>
      <c r="AR7" s="312">
        <f t="shared" si="21"/>
        <v>-33140</v>
      </c>
      <c r="AS7" s="312">
        <f t="shared" si="30"/>
        <v>-33140</v>
      </c>
      <c r="AT7" s="317"/>
      <c r="AU7">
        <v>-135.90000000002328</v>
      </c>
      <c r="AW7" s="279">
        <f t="shared" si="22"/>
        <v>353850</v>
      </c>
      <c r="AX7" s="280">
        <f t="shared" si="31"/>
        <v>278450</v>
      </c>
      <c r="AY7" s="285">
        <f t="shared" si="23"/>
        <v>75400</v>
      </c>
      <c r="AZ7" s="296">
        <f t="shared" si="24"/>
        <v>4.333333333333333</v>
      </c>
      <c r="BA7" s="348">
        <f>ROUND(AZ7,0)*12+4</f>
        <v>52</v>
      </c>
      <c r="BB7" s="292">
        <v>1450</v>
      </c>
      <c r="BC7" s="303">
        <f t="shared" si="25"/>
        <v>75400</v>
      </c>
      <c r="BD7" s="298">
        <f t="shared" si="26"/>
        <v>0</v>
      </c>
      <c r="BE7" s="271">
        <f t="shared" si="32"/>
        <v>0</v>
      </c>
      <c r="BG7" s="37">
        <f t="shared" si="33"/>
        <v>353850</v>
      </c>
    </row>
    <row r="8" spans="1:59" x14ac:dyDescent="0.3">
      <c r="A8" s="21" t="s">
        <v>45</v>
      </c>
      <c r="B8" s="132">
        <v>23</v>
      </c>
      <c r="C8" s="95">
        <v>0</v>
      </c>
      <c r="D8" s="106">
        <v>71</v>
      </c>
      <c r="E8" s="101">
        <v>71</v>
      </c>
      <c r="F8" s="103">
        <f t="shared" si="0"/>
        <v>0</v>
      </c>
      <c r="G8" s="111">
        <v>12</v>
      </c>
      <c r="H8" s="104">
        <v>13</v>
      </c>
      <c r="I8" s="105">
        <f t="shared" si="1"/>
        <v>1</v>
      </c>
      <c r="J8" s="22">
        <f t="shared" si="2"/>
        <v>15</v>
      </c>
      <c r="K8" s="99">
        <f t="shared" si="3"/>
        <v>15</v>
      </c>
      <c r="L8" s="169">
        <f t="shared" si="4"/>
        <v>2</v>
      </c>
      <c r="M8" s="126">
        <f t="shared" si="5"/>
        <v>13</v>
      </c>
      <c r="N8" s="25">
        <v>12</v>
      </c>
      <c r="O8" s="119">
        <f t="shared" si="6"/>
        <v>334140</v>
      </c>
      <c r="P8" s="119">
        <f t="shared" si="7"/>
        <v>100910.28</v>
      </c>
      <c r="Q8" s="119">
        <f t="shared" si="8"/>
        <v>435050.28</v>
      </c>
      <c r="R8" s="24">
        <f t="shared" si="9"/>
        <v>1.7699115044247787E-2</v>
      </c>
      <c r="S8" s="120" t="e">
        <f>ROUND(R8*#REF!,0)</f>
        <v>#REF!</v>
      </c>
      <c r="T8" s="121" t="e">
        <f t="shared" si="10"/>
        <v>#REF!</v>
      </c>
      <c r="U8" s="121" t="e">
        <f t="shared" si="11"/>
        <v>#REF!</v>
      </c>
      <c r="V8" s="121" t="e">
        <f t="shared" si="12"/>
        <v>#REF!</v>
      </c>
      <c r="W8" s="122" t="e">
        <f t="shared" si="13"/>
        <v>#REF!</v>
      </c>
      <c r="X8" s="38" t="e">
        <f>W8+'проезд Лизе к бюджету 2018'!L9</f>
        <v>#REF!</v>
      </c>
      <c r="Y8" s="37" t="e">
        <f>#REF!+#REF!</f>
        <v>#REF!</v>
      </c>
      <c r="Z8" s="37" t="e">
        <f t="shared" si="14"/>
        <v>#REF!</v>
      </c>
      <c r="AA8" s="249">
        <v>306405</v>
      </c>
      <c r="AB8" s="242">
        <v>92695</v>
      </c>
      <c r="AC8" s="253">
        <f t="shared" si="15"/>
        <v>399100</v>
      </c>
      <c r="AD8" s="245">
        <f t="shared" si="16"/>
        <v>361985</v>
      </c>
      <c r="AE8" s="326">
        <v>2900</v>
      </c>
      <c r="AF8" s="338">
        <v>22</v>
      </c>
      <c r="AG8" s="259">
        <v>11491.6</v>
      </c>
      <c r="AH8" s="274">
        <v>14391.6</v>
      </c>
      <c r="AI8" s="337"/>
      <c r="AJ8" s="330">
        <f t="shared" si="17"/>
        <v>408276.6</v>
      </c>
      <c r="AK8" s="143">
        <f t="shared" si="18"/>
        <v>101871.59999999998</v>
      </c>
      <c r="AL8" s="125">
        <f>AF8-'проезд Лизе к бюджету 2018'!B9</f>
        <v>18</v>
      </c>
      <c r="AM8" s="200">
        <f t="shared" si="27"/>
        <v>101980</v>
      </c>
      <c r="AN8" s="200">
        <f t="shared" si="28"/>
        <v>-92695</v>
      </c>
      <c r="AO8" s="200">
        <f t="shared" si="29"/>
        <v>9285</v>
      </c>
      <c r="AP8" s="311">
        <f t="shared" si="19"/>
        <v>102000</v>
      </c>
      <c r="AQ8" s="311">
        <f t="shared" si="20"/>
        <v>-92695</v>
      </c>
      <c r="AR8" s="312">
        <f t="shared" si="21"/>
        <v>9305</v>
      </c>
      <c r="AS8" s="312">
        <f t="shared" si="30"/>
        <v>9305</v>
      </c>
      <c r="AT8" s="317"/>
      <c r="AU8">
        <v>-108.40000000002328</v>
      </c>
      <c r="AW8" s="279">
        <f t="shared" si="22"/>
        <v>408385</v>
      </c>
      <c r="AX8" s="280">
        <f t="shared" si="31"/>
        <v>361985</v>
      </c>
      <c r="AY8" s="285">
        <f t="shared" si="23"/>
        <v>46400</v>
      </c>
      <c r="AZ8" s="296">
        <f t="shared" si="24"/>
        <v>2.6666666666666665</v>
      </c>
      <c r="BA8" s="348">
        <f>ROUND(AZ8,0)*12-4</f>
        <v>32</v>
      </c>
      <c r="BB8" s="292">
        <v>1450</v>
      </c>
      <c r="BC8" s="303">
        <f t="shared" si="25"/>
        <v>46400</v>
      </c>
      <c r="BD8" s="298">
        <f t="shared" si="26"/>
        <v>0</v>
      </c>
      <c r="BE8" s="271">
        <f t="shared" si="32"/>
        <v>0</v>
      </c>
      <c r="BG8" s="37">
        <f t="shared" si="33"/>
        <v>408385</v>
      </c>
    </row>
    <row r="9" spans="1:59" x14ac:dyDescent="0.3">
      <c r="A9" s="29" t="s">
        <v>11</v>
      </c>
      <c r="B9" s="132">
        <v>26</v>
      </c>
      <c r="C9" s="95">
        <v>2</v>
      </c>
      <c r="D9" s="106">
        <v>63</v>
      </c>
      <c r="E9" s="101">
        <v>63</v>
      </c>
      <c r="F9" s="103">
        <f t="shared" si="0"/>
        <v>0</v>
      </c>
      <c r="G9" s="111">
        <v>15</v>
      </c>
      <c r="H9" s="104">
        <v>13</v>
      </c>
      <c r="I9" s="105">
        <f t="shared" si="1"/>
        <v>-2</v>
      </c>
      <c r="J9" s="22">
        <f t="shared" si="2"/>
        <v>13</v>
      </c>
      <c r="K9" s="99">
        <f t="shared" si="3"/>
        <v>13</v>
      </c>
      <c r="L9" s="169">
        <f t="shared" si="4"/>
        <v>0</v>
      </c>
      <c r="M9" s="126">
        <f t="shared" si="5"/>
        <v>13</v>
      </c>
      <c r="N9" s="25">
        <v>13</v>
      </c>
      <c r="O9" s="119">
        <f t="shared" si="6"/>
        <v>361985</v>
      </c>
      <c r="P9" s="119">
        <f t="shared" si="7"/>
        <v>109319.47</v>
      </c>
      <c r="Q9" s="119">
        <f t="shared" si="8"/>
        <v>471304.47</v>
      </c>
      <c r="R9" s="24">
        <f t="shared" si="9"/>
        <v>1.9174041297935103E-2</v>
      </c>
      <c r="S9" s="120" t="e">
        <f>ROUND(R9*#REF!,0)</f>
        <v>#REF!</v>
      </c>
      <c r="T9" s="121" t="e">
        <f t="shared" si="10"/>
        <v>#REF!</v>
      </c>
      <c r="U9" s="121" t="e">
        <f t="shared" si="11"/>
        <v>#REF!</v>
      </c>
      <c r="V9" s="121" t="e">
        <f t="shared" si="12"/>
        <v>#REF!</v>
      </c>
      <c r="W9" s="122" t="e">
        <f t="shared" si="13"/>
        <v>#REF!</v>
      </c>
      <c r="X9" s="38" t="e">
        <f>W9+'проезд Лизе к бюджету 2018'!L10</f>
        <v>#REF!</v>
      </c>
      <c r="Y9" s="37" t="e">
        <f>#REF!+#REF!</f>
        <v>#REF!</v>
      </c>
      <c r="Z9" s="37" t="e">
        <f t="shared" si="14"/>
        <v>#REF!</v>
      </c>
      <c r="AA9" s="249">
        <v>297050</v>
      </c>
      <c r="AB9" s="242">
        <v>89850</v>
      </c>
      <c r="AC9" s="253">
        <f t="shared" si="15"/>
        <v>386900</v>
      </c>
      <c r="AD9" s="245">
        <f t="shared" si="16"/>
        <v>361985</v>
      </c>
      <c r="AE9" s="326">
        <v>1450</v>
      </c>
      <c r="AF9" s="336">
        <v>8</v>
      </c>
      <c r="AG9" s="259">
        <v>5658.7</v>
      </c>
      <c r="AH9" s="274">
        <v>7108.7</v>
      </c>
      <c r="AI9" s="337"/>
      <c r="AJ9" s="330">
        <f t="shared" si="17"/>
        <v>380693.7</v>
      </c>
      <c r="AK9" s="143">
        <f t="shared" si="18"/>
        <v>83643.700000000012</v>
      </c>
      <c r="AL9" s="125">
        <f>AF9-'проезд Лизе к бюджету 2018'!B10</f>
        <v>4</v>
      </c>
      <c r="AM9" s="200">
        <f t="shared" si="27"/>
        <v>83785</v>
      </c>
      <c r="AN9" s="200">
        <f t="shared" si="28"/>
        <v>-89850</v>
      </c>
      <c r="AO9" s="200">
        <f t="shared" si="29"/>
        <v>-6065</v>
      </c>
      <c r="AP9" s="311">
        <f t="shared" si="19"/>
        <v>83800</v>
      </c>
      <c r="AQ9" s="311">
        <f t="shared" si="20"/>
        <v>-89850</v>
      </c>
      <c r="AR9" s="312">
        <f t="shared" si="21"/>
        <v>-6050</v>
      </c>
      <c r="AS9" s="312">
        <f t="shared" si="30"/>
        <v>-6050</v>
      </c>
      <c r="AT9" s="317"/>
      <c r="AU9">
        <v>-141.29999999998836</v>
      </c>
      <c r="AW9" s="279">
        <f t="shared" si="22"/>
        <v>380835</v>
      </c>
      <c r="AX9" s="280">
        <f t="shared" si="31"/>
        <v>361985</v>
      </c>
      <c r="AY9" s="285">
        <f t="shared" si="23"/>
        <v>18850</v>
      </c>
      <c r="AZ9" s="296">
        <f t="shared" si="24"/>
        <v>1.0833333333333333</v>
      </c>
      <c r="BA9" s="348">
        <f>ROUND(AZ9,0)*12+1</f>
        <v>13</v>
      </c>
      <c r="BB9" s="292">
        <v>1450</v>
      </c>
      <c r="BC9" s="303">
        <f t="shared" si="25"/>
        <v>18850</v>
      </c>
      <c r="BD9" s="298">
        <f t="shared" si="26"/>
        <v>0</v>
      </c>
      <c r="BE9" s="271">
        <f t="shared" si="32"/>
        <v>0</v>
      </c>
      <c r="BG9" s="37">
        <f t="shared" si="33"/>
        <v>380835</v>
      </c>
    </row>
    <row r="10" spans="1:59" x14ac:dyDescent="0.3">
      <c r="A10" s="21" t="s">
        <v>46</v>
      </c>
      <c r="B10" s="132">
        <v>34</v>
      </c>
      <c r="C10" s="95">
        <v>1</v>
      </c>
      <c r="D10" s="106">
        <v>87</v>
      </c>
      <c r="E10" s="101">
        <v>84</v>
      </c>
      <c r="F10" s="103">
        <f t="shared" si="0"/>
        <v>-3</v>
      </c>
      <c r="G10" s="111">
        <v>17</v>
      </c>
      <c r="H10" s="104">
        <v>17</v>
      </c>
      <c r="I10" s="105">
        <f t="shared" si="1"/>
        <v>0</v>
      </c>
      <c r="J10" s="22">
        <f t="shared" si="2"/>
        <v>18</v>
      </c>
      <c r="K10" s="99">
        <f t="shared" si="3"/>
        <v>17</v>
      </c>
      <c r="L10" s="169">
        <f t="shared" si="4"/>
        <v>0</v>
      </c>
      <c r="M10" s="126">
        <f t="shared" si="5"/>
        <v>17</v>
      </c>
      <c r="N10" s="25">
        <v>17</v>
      </c>
      <c r="O10" s="119">
        <f t="shared" si="6"/>
        <v>473365</v>
      </c>
      <c r="P10" s="119">
        <f t="shared" si="7"/>
        <v>142956.22999999998</v>
      </c>
      <c r="Q10" s="119">
        <f t="shared" si="8"/>
        <v>616321.23</v>
      </c>
      <c r="R10" s="24">
        <f t="shared" si="9"/>
        <v>2.5073746312684365E-2</v>
      </c>
      <c r="S10" s="120" t="e">
        <f>ROUND(R10*#REF!,0)-1</f>
        <v>#REF!</v>
      </c>
      <c r="T10" s="121" t="e">
        <f t="shared" si="10"/>
        <v>#REF!</v>
      </c>
      <c r="U10" s="121" t="e">
        <f t="shared" si="11"/>
        <v>#REF!</v>
      </c>
      <c r="V10" s="121" t="e">
        <f t="shared" si="12"/>
        <v>#REF!</v>
      </c>
      <c r="W10" s="122" t="e">
        <f t="shared" si="13"/>
        <v>#REF!</v>
      </c>
      <c r="X10" s="38" t="e">
        <f>W10+'проезд Лизе к бюджету 2018'!L11</f>
        <v>#REF!</v>
      </c>
      <c r="Y10" s="37" t="e">
        <f>#REF!+#REF!</f>
        <v>#REF!</v>
      </c>
      <c r="Z10" s="37" t="e">
        <f t="shared" si="14"/>
        <v>#REF!</v>
      </c>
      <c r="AA10" s="249">
        <v>399185</v>
      </c>
      <c r="AB10" s="242">
        <v>120715</v>
      </c>
      <c r="AC10" s="253">
        <f t="shared" si="15"/>
        <v>519900</v>
      </c>
      <c r="AD10" s="245">
        <f t="shared" si="16"/>
        <v>473365</v>
      </c>
      <c r="AE10" s="326">
        <v>2900</v>
      </c>
      <c r="AF10" s="336">
        <v>12</v>
      </c>
      <c r="AG10" s="259">
        <v>11525.8</v>
      </c>
      <c r="AH10" s="274">
        <v>14425.8</v>
      </c>
      <c r="AI10" s="337"/>
      <c r="AJ10" s="330">
        <f t="shared" si="17"/>
        <v>505190.8</v>
      </c>
      <c r="AK10" s="143">
        <f t="shared" si="18"/>
        <v>106005.79999999999</v>
      </c>
      <c r="AL10" s="125">
        <f>AF10-'проезд Лизе к бюджету 2018'!B11</f>
        <v>10</v>
      </c>
      <c r="AM10" s="200">
        <f t="shared" si="27"/>
        <v>106080</v>
      </c>
      <c r="AN10" s="200">
        <f t="shared" si="28"/>
        <v>-120715</v>
      </c>
      <c r="AO10" s="200">
        <f t="shared" si="29"/>
        <v>-14635</v>
      </c>
      <c r="AP10" s="311">
        <f t="shared" si="19"/>
        <v>106100</v>
      </c>
      <c r="AQ10" s="311">
        <f t="shared" si="20"/>
        <v>-120715</v>
      </c>
      <c r="AR10" s="312">
        <f t="shared" si="21"/>
        <v>-14615</v>
      </c>
      <c r="AS10" s="312">
        <f t="shared" si="30"/>
        <v>-14615</v>
      </c>
      <c r="AT10" s="317"/>
      <c r="AU10">
        <v>-74.200000000011642</v>
      </c>
      <c r="AW10" s="279">
        <f t="shared" si="22"/>
        <v>505265</v>
      </c>
      <c r="AX10" s="280">
        <f t="shared" si="31"/>
        <v>473365</v>
      </c>
      <c r="AY10" s="285">
        <f t="shared" si="23"/>
        <v>31900</v>
      </c>
      <c r="AZ10" s="296">
        <f t="shared" si="24"/>
        <v>1.8333333333333333</v>
      </c>
      <c r="BA10" s="348">
        <f>ROUND(AZ10,0)*12-2</f>
        <v>22</v>
      </c>
      <c r="BB10" s="292">
        <v>1450</v>
      </c>
      <c r="BC10" s="303">
        <f t="shared" si="25"/>
        <v>31900</v>
      </c>
      <c r="BD10" s="298">
        <f t="shared" si="26"/>
        <v>0</v>
      </c>
      <c r="BE10" s="271">
        <f t="shared" si="32"/>
        <v>0</v>
      </c>
      <c r="BG10" s="37">
        <f t="shared" si="33"/>
        <v>505265</v>
      </c>
    </row>
    <row r="11" spans="1:59" x14ac:dyDescent="0.3">
      <c r="A11" s="21" t="s">
        <v>24</v>
      </c>
      <c r="B11" s="132">
        <v>39</v>
      </c>
      <c r="C11" s="95">
        <v>1</v>
      </c>
      <c r="D11" s="106">
        <v>45</v>
      </c>
      <c r="E11" s="101">
        <v>45</v>
      </c>
      <c r="F11" s="103">
        <f t="shared" si="0"/>
        <v>0</v>
      </c>
      <c r="G11" s="111">
        <v>8</v>
      </c>
      <c r="H11" s="104">
        <v>8</v>
      </c>
      <c r="I11" s="105">
        <f t="shared" si="1"/>
        <v>0</v>
      </c>
      <c r="J11" s="22">
        <f t="shared" si="2"/>
        <v>9</v>
      </c>
      <c r="K11" s="99">
        <f t="shared" si="3"/>
        <v>9</v>
      </c>
      <c r="L11" s="169">
        <f t="shared" si="4"/>
        <v>1</v>
      </c>
      <c r="M11" s="126">
        <f t="shared" si="5"/>
        <v>8</v>
      </c>
      <c r="N11" s="27">
        <v>8</v>
      </c>
      <c r="O11" s="119">
        <f t="shared" si="6"/>
        <v>222760</v>
      </c>
      <c r="P11" s="119">
        <f t="shared" si="7"/>
        <v>67273.52</v>
      </c>
      <c r="Q11" s="119">
        <f t="shared" si="8"/>
        <v>290033.52</v>
      </c>
      <c r="R11" s="24">
        <f t="shared" si="9"/>
        <v>1.1799410029498525E-2</v>
      </c>
      <c r="S11" s="120" t="e">
        <f>ROUND(R11*#REF!,0)</f>
        <v>#REF!</v>
      </c>
      <c r="T11" s="121" t="e">
        <f t="shared" si="10"/>
        <v>#REF!</v>
      </c>
      <c r="U11" s="121" t="e">
        <f t="shared" si="11"/>
        <v>#REF!</v>
      </c>
      <c r="V11" s="121" t="e">
        <f t="shared" si="12"/>
        <v>#REF!</v>
      </c>
      <c r="W11" s="122" t="e">
        <f t="shared" si="13"/>
        <v>#REF!</v>
      </c>
      <c r="X11" s="38" t="e">
        <f>W11+'проезд Лизе к бюджету 2018'!L12</f>
        <v>#REF!</v>
      </c>
      <c r="Y11" s="37" t="e">
        <f>#REF!+#REF!</f>
        <v>#REF!</v>
      </c>
      <c r="Z11" s="37" t="e">
        <f t="shared" si="14"/>
        <v>#REF!</v>
      </c>
      <c r="AA11" s="249">
        <v>269315</v>
      </c>
      <c r="AB11" s="242">
        <v>81485</v>
      </c>
      <c r="AC11" s="253">
        <f t="shared" si="15"/>
        <v>350800</v>
      </c>
      <c r="AD11" s="245">
        <f t="shared" si="16"/>
        <v>222760</v>
      </c>
      <c r="AE11" s="326">
        <v>4350</v>
      </c>
      <c r="AF11" s="336">
        <v>11</v>
      </c>
      <c r="AG11" s="259">
        <v>17304.099999999999</v>
      </c>
      <c r="AH11" s="274">
        <v>21654.1</v>
      </c>
      <c r="AI11" s="337"/>
      <c r="AJ11" s="330">
        <f t="shared" si="17"/>
        <v>260364.1</v>
      </c>
      <c r="AK11" s="143">
        <f t="shared" si="18"/>
        <v>-8950.8999999999942</v>
      </c>
      <c r="AL11" s="125">
        <f>AF11-'проезд Лизе к бюджету 2018'!B12</f>
        <v>7</v>
      </c>
      <c r="AM11" s="200">
        <f t="shared" si="27"/>
        <v>-8855</v>
      </c>
      <c r="AN11" s="200">
        <f t="shared" si="28"/>
        <v>-81485</v>
      </c>
      <c r="AO11" s="200">
        <f t="shared" si="29"/>
        <v>-90340</v>
      </c>
      <c r="AP11" s="311">
        <f t="shared" si="19"/>
        <v>-8800</v>
      </c>
      <c r="AQ11" s="311">
        <f t="shared" si="20"/>
        <v>-81485</v>
      </c>
      <c r="AR11" s="312">
        <f t="shared" si="21"/>
        <v>-90285</v>
      </c>
      <c r="AS11" s="312">
        <f t="shared" si="30"/>
        <v>-90285</v>
      </c>
      <c r="AT11" s="317"/>
      <c r="AU11">
        <v>-95.899999999994179</v>
      </c>
      <c r="AW11" s="279">
        <f t="shared" si="22"/>
        <v>260460</v>
      </c>
      <c r="AX11" s="280">
        <f t="shared" si="31"/>
        <v>222760</v>
      </c>
      <c r="AY11" s="285">
        <f t="shared" si="23"/>
        <v>37700</v>
      </c>
      <c r="AZ11" s="296">
        <f t="shared" si="24"/>
        <v>2.1666666666666665</v>
      </c>
      <c r="BA11" s="348">
        <f>ROUND(AZ11,0)*12+2</f>
        <v>26</v>
      </c>
      <c r="BB11" s="292">
        <v>1450</v>
      </c>
      <c r="BC11" s="303">
        <f t="shared" si="25"/>
        <v>37700</v>
      </c>
      <c r="BD11" s="298">
        <f t="shared" si="26"/>
        <v>0</v>
      </c>
      <c r="BE11" s="271">
        <f t="shared" si="32"/>
        <v>0</v>
      </c>
      <c r="BG11" s="37">
        <f t="shared" si="33"/>
        <v>260460</v>
      </c>
    </row>
    <row r="12" spans="1:59" x14ac:dyDescent="0.3">
      <c r="A12" s="21" t="s">
        <v>43</v>
      </c>
      <c r="B12" s="132">
        <v>268</v>
      </c>
      <c r="C12" s="95">
        <v>0</v>
      </c>
      <c r="D12" s="106">
        <v>52</v>
      </c>
      <c r="E12" s="101">
        <v>50</v>
      </c>
      <c r="F12" s="103">
        <f t="shared" si="0"/>
        <v>-2</v>
      </c>
      <c r="G12" s="111">
        <v>11</v>
      </c>
      <c r="H12" s="104">
        <v>9</v>
      </c>
      <c r="I12" s="105">
        <f t="shared" si="1"/>
        <v>-2</v>
      </c>
      <c r="J12" s="22">
        <f t="shared" si="2"/>
        <v>11</v>
      </c>
      <c r="K12" s="99">
        <f t="shared" si="3"/>
        <v>10</v>
      </c>
      <c r="L12" s="169">
        <f t="shared" si="4"/>
        <v>1</v>
      </c>
      <c r="M12" s="126">
        <f t="shared" si="5"/>
        <v>9</v>
      </c>
      <c r="N12" s="27">
        <v>11</v>
      </c>
      <c r="O12" s="119">
        <f t="shared" si="6"/>
        <v>306295</v>
      </c>
      <c r="P12" s="119">
        <f t="shared" si="7"/>
        <v>92501.09</v>
      </c>
      <c r="Q12" s="119">
        <f t="shared" si="8"/>
        <v>398796.08999999997</v>
      </c>
      <c r="R12" s="24">
        <f t="shared" si="9"/>
        <v>1.6224188790560472E-2</v>
      </c>
      <c r="S12" s="120" t="e">
        <f>ROUND(R12*#REF!,0)</f>
        <v>#REF!</v>
      </c>
      <c r="T12" s="121" t="e">
        <f t="shared" si="10"/>
        <v>#REF!</v>
      </c>
      <c r="U12" s="121" t="e">
        <f t="shared" si="11"/>
        <v>#REF!</v>
      </c>
      <c r="V12" s="121" t="e">
        <f t="shared" si="12"/>
        <v>#REF!</v>
      </c>
      <c r="W12" s="122" t="e">
        <f t="shared" si="13"/>
        <v>#REF!</v>
      </c>
      <c r="X12" s="38" t="e">
        <f>W12+'проезд Лизе к бюджету 2018'!L13</f>
        <v>#REF!</v>
      </c>
      <c r="Y12" s="37" t="e">
        <f>#REF!+#REF!</f>
        <v>#REF!</v>
      </c>
      <c r="Z12" s="37" t="e">
        <f t="shared" si="14"/>
        <v>#REF!</v>
      </c>
      <c r="AA12" s="249">
        <v>269205</v>
      </c>
      <c r="AB12" s="242">
        <v>81495</v>
      </c>
      <c r="AC12" s="253">
        <f t="shared" si="15"/>
        <v>350700</v>
      </c>
      <c r="AD12" s="245">
        <f t="shared" si="16"/>
        <v>250605</v>
      </c>
      <c r="AE12" s="326">
        <v>1450</v>
      </c>
      <c r="AF12" s="338">
        <v>7</v>
      </c>
      <c r="AG12" s="259">
        <v>5735.8</v>
      </c>
      <c r="AH12" s="274">
        <v>7185.8</v>
      </c>
      <c r="AI12" s="337"/>
      <c r="AJ12" s="330">
        <f t="shared" si="17"/>
        <v>267940.8</v>
      </c>
      <c r="AK12" s="143">
        <f t="shared" si="18"/>
        <v>-1264.2000000000116</v>
      </c>
      <c r="AL12" s="125">
        <f>AF12-'проезд Лизе к бюджету 2018'!B13</f>
        <v>5</v>
      </c>
      <c r="AM12" s="200">
        <f t="shared" si="27"/>
        <v>-1200</v>
      </c>
      <c r="AN12" s="200">
        <f t="shared" si="28"/>
        <v>-81495</v>
      </c>
      <c r="AO12" s="200">
        <f t="shared" si="29"/>
        <v>-82695</v>
      </c>
      <c r="AP12" s="311">
        <f t="shared" si="19"/>
        <v>-1200</v>
      </c>
      <c r="AQ12" s="311">
        <f t="shared" si="20"/>
        <v>-81495</v>
      </c>
      <c r="AR12" s="312">
        <f t="shared" si="21"/>
        <v>-82695</v>
      </c>
      <c r="AS12" s="312">
        <f t="shared" si="30"/>
        <v>-82695</v>
      </c>
      <c r="AT12" s="317"/>
      <c r="AU12">
        <v>-64.200000000011642</v>
      </c>
      <c r="AW12" s="279">
        <f t="shared" si="22"/>
        <v>268005</v>
      </c>
      <c r="AX12" s="280">
        <f t="shared" si="31"/>
        <v>250605</v>
      </c>
      <c r="AY12" s="285">
        <f t="shared" si="23"/>
        <v>17400</v>
      </c>
      <c r="AZ12" s="296">
        <f t="shared" si="24"/>
        <v>1</v>
      </c>
      <c r="BA12" s="348">
        <f>ROUND(AZ12,0)*12</f>
        <v>12</v>
      </c>
      <c r="BB12" s="292">
        <v>1450</v>
      </c>
      <c r="BC12" s="303">
        <f t="shared" si="25"/>
        <v>17400</v>
      </c>
      <c r="BD12" s="298">
        <f t="shared" si="26"/>
        <v>0</v>
      </c>
      <c r="BE12" s="271">
        <f t="shared" si="32"/>
        <v>0</v>
      </c>
      <c r="BG12" s="37">
        <f t="shared" si="33"/>
        <v>268005</v>
      </c>
    </row>
    <row r="13" spans="1:59" ht="14.4" customHeight="1" x14ac:dyDescent="0.3">
      <c r="A13" s="21" t="s">
        <v>5</v>
      </c>
      <c r="B13" s="269">
        <v>323</v>
      </c>
      <c r="C13" s="95">
        <v>3</v>
      </c>
      <c r="D13" s="106">
        <v>59</v>
      </c>
      <c r="E13" s="101">
        <v>59</v>
      </c>
      <c r="F13" s="103">
        <f t="shared" si="0"/>
        <v>0</v>
      </c>
      <c r="G13" s="111">
        <v>16</v>
      </c>
      <c r="H13" s="104">
        <v>17</v>
      </c>
      <c r="I13" s="105">
        <f t="shared" si="1"/>
        <v>1</v>
      </c>
      <c r="J13" s="22">
        <f t="shared" si="2"/>
        <v>12</v>
      </c>
      <c r="K13" s="170">
        <f t="shared" si="3"/>
        <v>12</v>
      </c>
      <c r="L13" s="169">
        <f t="shared" si="4"/>
        <v>-5</v>
      </c>
      <c r="M13" s="126">
        <f t="shared" si="5"/>
        <v>12</v>
      </c>
      <c r="N13" s="27">
        <v>12</v>
      </c>
      <c r="O13" s="119">
        <f t="shared" si="6"/>
        <v>334140</v>
      </c>
      <c r="P13" s="119">
        <f t="shared" si="7"/>
        <v>100910.28</v>
      </c>
      <c r="Q13" s="119">
        <f t="shared" si="8"/>
        <v>435050.28</v>
      </c>
      <c r="R13" s="24">
        <f t="shared" si="9"/>
        <v>1.7699115044247787E-2</v>
      </c>
      <c r="S13" s="120" t="e">
        <f>ROUND(R13*#REF!,0)</f>
        <v>#REF!</v>
      </c>
      <c r="T13" s="121" t="e">
        <f t="shared" si="10"/>
        <v>#REF!</v>
      </c>
      <c r="U13" s="121" t="e">
        <f t="shared" si="11"/>
        <v>#REF!</v>
      </c>
      <c r="V13" s="121" t="e">
        <f t="shared" si="12"/>
        <v>#REF!</v>
      </c>
      <c r="W13" s="122" t="e">
        <f t="shared" si="13"/>
        <v>#REF!</v>
      </c>
      <c r="X13" s="38" t="e">
        <f>W13+'проезд Лизе к бюджету 2018'!L14</f>
        <v>#REF!</v>
      </c>
      <c r="Y13" s="37" t="e">
        <f>#REF!+#REF!</f>
        <v>#REF!</v>
      </c>
      <c r="Z13" s="37" t="e">
        <f t="shared" si="14"/>
        <v>#REF!</v>
      </c>
      <c r="AA13" s="249">
        <v>306405</v>
      </c>
      <c r="AB13" s="242">
        <v>91695</v>
      </c>
      <c r="AC13" s="253">
        <f t="shared" si="15"/>
        <v>398100</v>
      </c>
      <c r="AD13" s="245">
        <f t="shared" si="16"/>
        <v>334140</v>
      </c>
      <c r="AE13" s="326">
        <v>2900</v>
      </c>
      <c r="AF13" s="339">
        <f>2*8</f>
        <v>16</v>
      </c>
      <c r="AG13" s="259">
        <v>8700</v>
      </c>
      <c r="AH13" s="274">
        <v>11600</v>
      </c>
      <c r="AI13" s="337"/>
      <c r="AJ13" s="330">
        <f t="shared" si="17"/>
        <v>368940</v>
      </c>
      <c r="AK13" s="143">
        <f t="shared" si="18"/>
        <v>62535</v>
      </c>
      <c r="AL13" s="125">
        <f>AF13-'проезд Лизе к бюджету 2018'!B14</f>
        <v>14</v>
      </c>
      <c r="AM13" s="200">
        <f t="shared" si="27"/>
        <v>62535</v>
      </c>
      <c r="AN13" s="200">
        <f t="shared" si="28"/>
        <v>-91695</v>
      </c>
      <c r="AO13" s="200">
        <f t="shared" si="29"/>
        <v>-29160</v>
      </c>
      <c r="AP13" s="311">
        <f t="shared" si="19"/>
        <v>62600</v>
      </c>
      <c r="AQ13" s="311">
        <f t="shared" si="20"/>
        <v>-91695</v>
      </c>
      <c r="AR13" s="312">
        <f t="shared" si="21"/>
        <v>-29095</v>
      </c>
      <c r="AS13" s="312">
        <f t="shared" si="30"/>
        <v>-29095</v>
      </c>
      <c r="AT13" s="317"/>
      <c r="AU13">
        <v>0</v>
      </c>
      <c r="AW13" s="279">
        <f t="shared" si="22"/>
        <v>368940</v>
      </c>
      <c r="AX13" s="280">
        <f t="shared" si="31"/>
        <v>334140</v>
      </c>
      <c r="AY13" s="285">
        <f t="shared" si="23"/>
        <v>34800</v>
      </c>
      <c r="AZ13" s="296">
        <f t="shared" si="24"/>
        <v>2</v>
      </c>
      <c r="BA13" s="348">
        <f>ROUND(AZ13,0)*12</f>
        <v>24</v>
      </c>
      <c r="BB13" s="292">
        <v>1450</v>
      </c>
      <c r="BC13" s="303">
        <f t="shared" si="25"/>
        <v>34800</v>
      </c>
      <c r="BD13" s="298">
        <f t="shared" si="26"/>
        <v>0</v>
      </c>
      <c r="BE13" s="271">
        <f t="shared" si="32"/>
        <v>0</v>
      </c>
      <c r="BG13" s="37">
        <f t="shared" si="33"/>
        <v>368940</v>
      </c>
    </row>
    <row r="14" spans="1:59" x14ac:dyDescent="0.3">
      <c r="A14" s="21" t="s">
        <v>39</v>
      </c>
      <c r="B14" s="132">
        <v>326</v>
      </c>
      <c r="C14" s="95">
        <v>0</v>
      </c>
      <c r="D14" s="106">
        <v>39</v>
      </c>
      <c r="E14" s="101">
        <v>39</v>
      </c>
      <c r="F14" s="103">
        <f t="shared" si="0"/>
        <v>0</v>
      </c>
      <c r="G14" s="111">
        <v>9</v>
      </c>
      <c r="H14" s="104">
        <v>3</v>
      </c>
      <c r="I14" s="105">
        <f t="shared" si="1"/>
        <v>-6</v>
      </c>
      <c r="J14" s="22">
        <f t="shared" si="2"/>
        <v>8</v>
      </c>
      <c r="K14" s="99">
        <f t="shared" si="3"/>
        <v>8</v>
      </c>
      <c r="L14" s="169">
        <f t="shared" si="4"/>
        <v>5</v>
      </c>
      <c r="M14" s="126">
        <f t="shared" si="5"/>
        <v>3</v>
      </c>
      <c r="N14" s="27">
        <v>8</v>
      </c>
      <c r="O14" s="119">
        <f t="shared" si="6"/>
        <v>222760</v>
      </c>
      <c r="P14" s="119">
        <f t="shared" si="7"/>
        <v>67273.52</v>
      </c>
      <c r="Q14" s="119">
        <f t="shared" si="8"/>
        <v>290033.52</v>
      </c>
      <c r="R14" s="24">
        <f t="shared" si="9"/>
        <v>1.1799410029498525E-2</v>
      </c>
      <c r="S14" s="120" t="e">
        <f>ROUND(R14*#REF!,0)</f>
        <v>#REF!</v>
      </c>
      <c r="T14" s="121" t="e">
        <f t="shared" si="10"/>
        <v>#REF!</v>
      </c>
      <c r="U14" s="121" t="e">
        <f t="shared" si="11"/>
        <v>#REF!</v>
      </c>
      <c r="V14" s="121" t="e">
        <f t="shared" si="12"/>
        <v>#REF!</v>
      </c>
      <c r="W14" s="122" t="e">
        <f t="shared" si="13"/>
        <v>#REF!</v>
      </c>
      <c r="X14" s="38" t="e">
        <f>W14+'проезд Лизе к бюджету 2018'!L15</f>
        <v>#REF!</v>
      </c>
      <c r="Y14" s="37" t="e">
        <f>#REF!+#REF!</f>
        <v>#REF!</v>
      </c>
      <c r="Z14" s="37" t="e">
        <f t="shared" si="14"/>
        <v>#REF!</v>
      </c>
      <c r="AA14" s="249">
        <v>55690</v>
      </c>
      <c r="AB14" s="242">
        <v>16910</v>
      </c>
      <c r="AC14" s="253">
        <f t="shared" si="15"/>
        <v>72600</v>
      </c>
      <c r="AD14" s="245">
        <f t="shared" si="16"/>
        <v>83535</v>
      </c>
      <c r="AE14" s="326"/>
      <c r="AF14" s="336">
        <v>0</v>
      </c>
      <c r="AG14" s="259"/>
      <c r="AH14" s="274"/>
      <c r="AI14" s="337"/>
      <c r="AJ14" s="330">
        <f t="shared" si="17"/>
        <v>83535</v>
      </c>
      <c r="AK14" s="143">
        <f t="shared" si="18"/>
        <v>27845</v>
      </c>
      <c r="AL14" s="125">
        <f>AF14-'проезд Лизе к бюджету 2018'!B15</f>
        <v>0</v>
      </c>
      <c r="AM14" s="200">
        <f t="shared" si="27"/>
        <v>27845</v>
      </c>
      <c r="AN14" s="200">
        <f t="shared" si="28"/>
        <v>-16910</v>
      </c>
      <c r="AO14" s="200">
        <f t="shared" si="29"/>
        <v>10935</v>
      </c>
      <c r="AP14" s="311">
        <f t="shared" si="19"/>
        <v>27900.000000000004</v>
      </c>
      <c r="AQ14" s="311">
        <f t="shared" si="20"/>
        <v>-16910</v>
      </c>
      <c r="AR14" s="312">
        <f t="shared" si="21"/>
        <v>10990.000000000004</v>
      </c>
      <c r="AS14" s="312">
        <f t="shared" si="30"/>
        <v>10990.000000000004</v>
      </c>
      <c r="AT14" s="317"/>
      <c r="AU14">
        <v>0</v>
      </c>
      <c r="AW14" s="279">
        <f t="shared" si="22"/>
        <v>83535</v>
      </c>
      <c r="AX14" s="280">
        <f t="shared" si="31"/>
        <v>83535</v>
      </c>
      <c r="AY14" s="285">
        <f t="shared" si="23"/>
        <v>0</v>
      </c>
      <c r="AZ14" s="296">
        <f t="shared" si="24"/>
        <v>0</v>
      </c>
      <c r="BA14" s="348">
        <f>ROUND(AZ14,0)*12</f>
        <v>0</v>
      </c>
      <c r="BB14" s="292">
        <v>1450</v>
      </c>
      <c r="BC14" s="303">
        <f t="shared" si="25"/>
        <v>0</v>
      </c>
      <c r="BD14" s="298">
        <f t="shared" si="26"/>
        <v>0</v>
      </c>
      <c r="BE14" s="271">
        <f t="shared" si="32"/>
        <v>0</v>
      </c>
      <c r="BG14" s="37">
        <f t="shared" si="33"/>
        <v>83535</v>
      </c>
    </row>
    <row r="15" spans="1:59" x14ac:dyDescent="0.3">
      <c r="A15" s="21" t="s">
        <v>12</v>
      </c>
      <c r="B15" s="132">
        <v>327</v>
      </c>
      <c r="C15" s="95">
        <v>0</v>
      </c>
      <c r="D15" s="106">
        <v>62</v>
      </c>
      <c r="E15" s="101">
        <v>68</v>
      </c>
      <c r="F15" s="103">
        <f t="shared" si="0"/>
        <v>6</v>
      </c>
      <c r="G15" s="111">
        <v>8</v>
      </c>
      <c r="H15" s="104">
        <v>12</v>
      </c>
      <c r="I15" s="105">
        <f t="shared" si="1"/>
        <v>4</v>
      </c>
      <c r="J15" s="22">
        <f t="shared" si="2"/>
        <v>13</v>
      </c>
      <c r="K15" s="99">
        <f t="shared" si="3"/>
        <v>14</v>
      </c>
      <c r="L15" s="169">
        <f t="shared" si="4"/>
        <v>2</v>
      </c>
      <c r="M15" s="126">
        <f t="shared" si="5"/>
        <v>12</v>
      </c>
      <c r="N15" s="25">
        <v>8</v>
      </c>
      <c r="O15" s="119">
        <f t="shared" si="6"/>
        <v>222760</v>
      </c>
      <c r="P15" s="119">
        <f t="shared" si="7"/>
        <v>67273.52</v>
      </c>
      <c r="Q15" s="119">
        <f t="shared" si="8"/>
        <v>290033.52</v>
      </c>
      <c r="R15" s="24">
        <f t="shared" si="9"/>
        <v>1.1799410029498525E-2</v>
      </c>
      <c r="S15" s="120" t="e">
        <f>ROUND(R15*#REF!,0)</f>
        <v>#REF!</v>
      </c>
      <c r="T15" s="121" t="e">
        <f t="shared" si="10"/>
        <v>#REF!</v>
      </c>
      <c r="U15" s="121" t="e">
        <f t="shared" si="11"/>
        <v>#REF!</v>
      </c>
      <c r="V15" s="121" t="e">
        <f t="shared" si="12"/>
        <v>#REF!</v>
      </c>
      <c r="W15" s="122" t="e">
        <f t="shared" si="13"/>
        <v>#REF!</v>
      </c>
      <c r="X15" s="38" t="e">
        <f>W15+'проезд Лизе к бюджету 2018'!L16</f>
        <v>#REF!</v>
      </c>
      <c r="Y15" s="37" t="e">
        <f>#REF!+#REF!</f>
        <v>#REF!</v>
      </c>
      <c r="Z15" s="37" t="e">
        <f t="shared" si="14"/>
        <v>#REF!</v>
      </c>
      <c r="AA15" s="249">
        <v>306405</v>
      </c>
      <c r="AB15" s="242">
        <v>92695</v>
      </c>
      <c r="AC15" s="253">
        <f t="shared" si="15"/>
        <v>399100</v>
      </c>
      <c r="AD15" s="245">
        <f t="shared" si="16"/>
        <v>334140</v>
      </c>
      <c r="AE15" s="326">
        <v>4350</v>
      </c>
      <c r="AF15" s="336">
        <v>21</v>
      </c>
      <c r="AG15" s="259">
        <v>17332.900000000001</v>
      </c>
      <c r="AH15" s="274">
        <v>21682.9</v>
      </c>
      <c r="AI15" s="337"/>
      <c r="AJ15" s="330">
        <f t="shared" si="17"/>
        <v>386272.9</v>
      </c>
      <c r="AK15" s="143">
        <f t="shared" si="18"/>
        <v>79867.900000000023</v>
      </c>
      <c r="AL15" s="125">
        <f>AF15-'проезд Лизе к бюджету 2018'!B16</f>
        <v>20</v>
      </c>
      <c r="AM15" s="200">
        <f t="shared" si="27"/>
        <v>79935</v>
      </c>
      <c r="AN15" s="200">
        <f t="shared" si="28"/>
        <v>-92695</v>
      </c>
      <c r="AO15" s="200">
        <f t="shared" si="29"/>
        <v>-12760</v>
      </c>
      <c r="AP15" s="311">
        <f t="shared" si="19"/>
        <v>80000</v>
      </c>
      <c r="AQ15" s="311">
        <f t="shared" si="20"/>
        <v>-92695</v>
      </c>
      <c r="AR15" s="312">
        <f t="shared" si="21"/>
        <v>-12695</v>
      </c>
      <c r="AS15" s="312">
        <f t="shared" si="30"/>
        <v>-12695</v>
      </c>
      <c r="AT15" s="317"/>
      <c r="AU15">
        <v>-67.099999999976717</v>
      </c>
      <c r="AW15" s="279">
        <f t="shared" si="22"/>
        <v>386340</v>
      </c>
      <c r="AX15" s="280">
        <f t="shared" si="31"/>
        <v>334140</v>
      </c>
      <c r="AY15" s="285">
        <f t="shared" si="23"/>
        <v>52200</v>
      </c>
      <c r="AZ15" s="296">
        <f t="shared" si="24"/>
        <v>3</v>
      </c>
      <c r="BA15" s="348">
        <f>ROUND(AZ15,0)*12</f>
        <v>36</v>
      </c>
      <c r="BB15" s="292">
        <v>1450</v>
      </c>
      <c r="BC15" s="303">
        <f t="shared" si="25"/>
        <v>52200</v>
      </c>
      <c r="BD15" s="298">
        <f t="shared" si="26"/>
        <v>0</v>
      </c>
      <c r="BE15" s="271">
        <f t="shared" si="32"/>
        <v>0</v>
      </c>
      <c r="BG15" s="37">
        <f t="shared" si="33"/>
        <v>386340</v>
      </c>
    </row>
    <row r="16" spans="1:59" x14ac:dyDescent="0.3">
      <c r="A16" s="21" t="s">
        <v>13</v>
      </c>
      <c r="B16" s="132">
        <v>328</v>
      </c>
      <c r="C16" s="95">
        <v>0</v>
      </c>
      <c r="D16" s="106">
        <v>56</v>
      </c>
      <c r="E16" s="101">
        <v>56</v>
      </c>
      <c r="F16" s="103">
        <f t="shared" si="0"/>
        <v>0</v>
      </c>
      <c r="G16" s="111">
        <v>13</v>
      </c>
      <c r="H16" s="104">
        <v>11</v>
      </c>
      <c r="I16" s="105">
        <f t="shared" si="1"/>
        <v>-2</v>
      </c>
      <c r="J16" s="22">
        <f t="shared" si="2"/>
        <v>12</v>
      </c>
      <c r="K16" s="99">
        <f t="shared" si="3"/>
        <v>12</v>
      </c>
      <c r="L16" s="169">
        <f t="shared" si="4"/>
        <v>1</v>
      </c>
      <c r="M16" s="126">
        <f t="shared" si="5"/>
        <v>11</v>
      </c>
      <c r="N16" s="27">
        <v>12</v>
      </c>
      <c r="O16" s="119">
        <f t="shared" si="6"/>
        <v>334140</v>
      </c>
      <c r="P16" s="119">
        <f t="shared" si="7"/>
        <v>100910.28</v>
      </c>
      <c r="Q16" s="119">
        <f t="shared" si="8"/>
        <v>435050.28</v>
      </c>
      <c r="R16" s="24">
        <f t="shared" si="9"/>
        <v>1.7699115044247787E-2</v>
      </c>
      <c r="S16" s="120" t="e">
        <f>ROUND(R16*#REF!,0)</f>
        <v>#REF!</v>
      </c>
      <c r="T16" s="121" t="e">
        <f t="shared" si="10"/>
        <v>#REF!</v>
      </c>
      <c r="U16" s="121" t="e">
        <f t="shared" si="11"/>
        <v>#REF!</v>
      </c>
      <c r="V16" s="121" t="e">
        <f t="shared" si="12"/>
        <v>#REF!</v>
      </c>
      <c r="W16" s="122" t="e">
        <f t="shared" si="13"/>
        <v>#REF!</v>
      </c>
      <c r="X16" s="38" t="e">
        <f>W16+'проезд Лизе к бюджету 2018'!L17</f>
        <v>#REF!</v>
      </c>
      <c r="Y16" s="37" t="e">
        <f>#REF!+#REF!</f>
        <v>#REF!</v>
      </c>
      <c r="Z16" s="37" t="e">
        <f t="shared" si="14"/>
        <v>#REF!</v>
      </c>
      <c r="AA16" s="249">
        <v>241360</v>
      </c>
      <c r="AB16" s="242">
        <v>73040</v>
      </c>
      <c r="AC16" s="253">
        <f t="shared" si="15"/>
        <v>314400</v>
      </c>
      <c r="AD16" s="245">
        <f t="shared" si="16"/>
        <v>306295</v>
      </c>
      <c r="AE16" s="326">
        <v>1450</v>
      </c>
      <c r="AF16" s="336">
        <v>4</v>
      </c>
      <c r="AG16" s="259">
        <v>5675.4</v>
      </c>
      <c r="AH16" s="274">
        <v>7125.4</v>
      </c>
      <c r="AI16" s="337"/>
      <c r="AJ16" s="330">
        <f t="shared" si="17"/>
        <v>319220.40000000002</v>
      </c>
      <c r="AK16" s="143">
        <f t="shared" si="18"/>
        <v>77860.400000000023</v>
      </c>
      <c r="AL16" s="125">
        <f>AF16-'проезд Лизе к бюджету 2018'!B17</f>
        <v>3</v>
      </c>
      <c r="AM16" s="200">
        <f t="shared" si="27"/>
        <v>77985</v>
      </c>
      <c r="AN16" s="200">
        <f t="shared" si="28"/>
        <v>-73040</v>
      </c>
      <c r="AO16" s="200">
        <f t="shared" si="29"/>
        <v>4945</v>
      </c>
      <c r="AP16" s="311">
        <f t="shared" si="19"/>
        <v>78000</v>
      </c>
      <c r="AQ16" s="311">
        <f t="shared" si="20"/>
        <v>-73040</v>
      </c>
      <c r="AR16" s="312">
        <f t="shared" si="21"/>
        <v>4960</v>
      </c>
      <c r="AS16" s="312">
        <f t="shared" si="30"/>
        <v>4960</v>
      </c>
      <c r="AT16" s="317"/>
      <c r="AU16">
        <v>-124.59999999997672</v>
      </c>
      <c r="AW16" s="279">
        <f t="shared" si="22"/>
        <v>319345</v>
      </c>
      <c r="AX16" s="280">
        <f t="shared" si="31"/>
        <v>306295</v>
      </c>
      <c r="AY16" s="285">
        <f t="shared" si="23"/>
        <v>13050</v>
      </c>
      <c r="AZ16" s="296">
        <f t="shared" si="24"/>
        <v>0.75</v>
      </c>
      <c r="BA16" s="348">
        <f>ROUND(AZ16,0)*12-3</f>
        <v>9</v>
      </c>
      <c r="BB16" s="292">
        <v>1450</v>
      </c>
      <c r="BC16" s="303">
        <f t="shared" si="25"/>
        <v>13050</v>
      </c>
      <c r="BD16" s="298">
        <f t="shared" si="26"/>
        <v>0</v>
      </c>
      <c r="BE16" s="271">
        <f t="shared" si="32"/>
        <v>0</v>
      </c>
      <c r="BG16" s="37">
        <f t="shared" si="33"/>
        <v>319345</v>
      </c>
    </row>
    <row r="17" spans="1:59" x14ac:dyDescent="0.3">
      <c r="A17" s="21" t="s">
        <v>14</v>
      </c>
      <c r="B17" s="269">
        <v>329</v>
      </c>
      <c r="C17" s="95">
        <v>0</v>
      </c>
      <c r="D17" s="114">
        <v>58</v>
      </c>
      <c r="E17" s="115">
        <v>53</v>
      </c>
      <c r="F17" s="103">
        <f t="shared" si="0"/>
        <v>-5</v>
      </c>
      <c r="G17" s="112">
        <v>13</v>
      </c>
      <c r="H17" s="109">
        <v>10</v>
      </c>
      <c r="I17" s="105">
        <f t="shared" si="1"/>
        <v>-3</v>
      </c>
      <c r="J17" s="22">
        <f t="shared" si="2"/>
        <v>12</v>
      </c>
      <c r="K17" s="99">
        <f t="shared" si="3"/>
        <v>11</v>
      </c>
      <c r="L17" s="169">
        <f t="shared" si="4"/>
        <v>1</v>
      </c>
      <c r="M17" s="126">
        <f t="shared" si="5"/>
        <v>10</v>
      </c>
      <c r="N17" s="27">
        <v>12</v>
      </c>
      <c r="O17" s="119">
        <f t="shared" si="6"/>
        <v>334140</v>
      </c>
      <c r="P17" s="119">
        <f t="shared" si="7"/>
        <v>100910.28</v>
      </c>
      <c r="Q17" s="119">
        <f t="shared" si="8"/>
        <v>435050.28</v>
      </c>
      <c r="R17" s="24">
        <f t="shared" si="9"/>
        <v>1.7699115044247787E-2</v>
      </c>
      <c r="S17" s="120" t="e">
        <f>ROUND(R17*#REF!,0)</f>
        <v>#REF!</v>
      </c>
      <c r="T17" s="121" t="e">
        <f t="shared" si="10"/>
        <v>#REF!</v>
      </c>
      <c r="U17" s="121" t="e">
        <f t="shared" si="11"/>
        <v>#REF!</v>
      </c>
      <c r="V17" s="121" t="e">
        <f t="shared" si="12"/>
        <v>#REF!</v>
      </c>
      <c r="W17" s="122" t="e">
        <f t="shared" si="13"/>
        <v>#REF!</v>
      </c>
      <c r="X17" s="38" t="e">
        <f>W17+'проезд Лизе к бюджету 2018'!L18</f>
        <v>#REF!</v>
      </c>
      <c r="Y17" s="37" t="e">
        <f>#REF!+#REF!</f>
        <v>#REF!</v>
      </c>
      <c r="Z17" s="37" t="e">
        <f t="shared" si="14"/>
        <v>#REF!</v>
      </c>
      <c r="AA17" s="249">
        <v>241360</v>
      </c>
      <c r="AB17" s="242">
        <v>73040</v>
      </c>
      <c r="AC17" s="253">
        <f t="shared" si="15"/>
        <v>314400</v>
      </c>
      <c r="AD17" s="245">
        <f t="shared" si="16"/>
        <v>278450</v>
      </c>
      <c r="AE17" s="326"/>
      <c r="AF17" s="339">
        <v>0</v>
      </c>
      <c r="AG17" s="259"/>
      <c r="AH17" s="274"/>
      <c r="AI17" s="337"/>
      <c r="AJ17" s="330">
        <f t="shared" si="17"/>
        <v>278450</v>
      </c>
      <c r="AK17" s="143">
        <f t="shared" si="18"/>
        <v>37090</v>
      </c>
      <c r="AL17" s="125">
        <f>AF17-'проезд Лизе к бюджету 2018'!B18</f>
        <v>-1</v>
      </c>
      <c r="AM17" s="200">
        <f t="shared" si="27"/>
        <v>37090</v>
      </c>
      <c r="AN17" s="200">
        <f t="shared" si="28"/>
        <v>-73040</v>
      </c>
      <c r="AO17" s="200">
        <f t="shared" si="29"/>
        <v>-35950</v>
      </c>
      <c r="AP17" s="311">
        <f t="shared" si="19"/>
        <v>37100</v>
      </c>
      <c r="AQ17" s="311">
        <f t="shared" si="20"/>
        <v>-73040</v>
      </c>
      <c r="AR17" s="312">
        <f t="shared" si="21"/>
        <v>-35940</v>
      </c>
      <c r="AS17" s="312">
        <f t="shared" si="30"/>
        <v>-35940</v>
      </c>
      <c r="AT17" s="317"/>
      <c r="AU17">
        <v>0</v>
      </c>
      <c r="AW17" s="279">
        <f t="shared" si="22"/>
        <v>278450</v>
      </c>
      <c r="AX17" s="280">
        <f t="shared" si="31"/>
        <v>278450</v>
      </c>
      <c r="AY17" s="285">
        <f t="shared" si="23"/>
        <v>0</v>
      </c>
      <c r="AZ17" s="296">
        <f t="shared" si="24"/>
        <v>0</v>
      </c>
      <c r="BA17" s="348">
        <f>ROUND(AZ17,0)*12</f>
        <v>0</v>
      </c>
      <c r="BB17" s="292">
        <v>1450</v>
      </c>
      <c r="BC17" s="303">
        <f t="shared" si="25"/>
        <v>0</v>
      </c>
      <c r="BD17" s="298">
        <f t="shared" si="26"/>
        <v>0</v>
      </c>
      <c r="BE17" s="271">
        <f t="shared" si="32"/>
        <v>0</v>
      </c>
      <c r="BG17" s="37">
        <f t="shared" si="33"/>
        <v>278450</v>
      </c>
    </row>
    <row r="18" spans="1:59" x14ac:dyDescent="0.3">
      <c r="A18" s="21" t="s">
        <v>47</v>
      </c>
      <c r="B18" s="132">
        <v>330</v>
      </c>
      <c r="C18" s="95">
        <v>1</v>
      </c>
      <c r="D18" s="106">
        <v>57</v>
      </c>
      <c r="E18" s="101">
        <v>53</v>
      </c>
      <c r="F18" s="103">
        <f t="shared" si="0"/>
        <v>-4</v>
      </c>
      <c r="G18" s="111">
        <v>10</v>
      </c>
      <c r="H18" s="104">
        <v>9</v>
      </c>
      <c r="I18" s="105">
        <f t="shared" si="1"/>
        <v>-1</v>
      </c>
      <c r="J18" s="22">
        <f t="shared" si="2"/>
        <v>12</v>
      </c>
      <c r="K18" s="99">
        <f t="shared" si="3"/>
        <v>11</v>
      </c>
      <c r="L18" s="169">
        <f t="shared" si="4"/>
        <v>2</v>
      </c>
      <c r="M18" s="126">
        <f t="shared" si="5"/>
        <v>9</v>
      </c>
      <c r="N18" s="25">
        <v>10</v>
      </c>
      <c r="O18" s="119">
        <f t="shared" si="6"/>
        <v>278450</v>
      </c>
      <c r="P18" s="119">
        <f t="shared" si="7"/>
        <v>84091.9</v>
      </c>
      <c r="Q18" s="119">
        <f t="shared" si="8"/>
        <v>362541.9</v>
      </c>
      <c r="R18" s="24">
        <f t="shared" si="9"/>
        <v>1.4749262536873156E-2</v>
      </c>
      <c r="S18" s="120" t="e">
        <f>ROUND(R18*#REF!,0)</f>
        <v>#REF!</v>
      </c>
      <c r="T18" s="121" t="e">
        <f t="shared" si="10"/>
        <v>#REF!</v>
      </c>
      <c r="U18" s="121" t="e">
        <f t="shared" si="11"/>
        <v>#REF!</v>
      </c>
      <c r="V18" s="121" t="e">
        <f t="shared" si="12"/>
        <v>#REF!</v>
      </c>
      <c r="W18" s="122" t="e">
        <f t="shared" si="13"/>
        <v>#REF!</v>
      </c>
      <c r="X18" s="38" t="e">
        <f>W18+'проезд Лизе к бюджету 2018'!L19</f>
        <v>#REF!</v>
      </c>
      <c r="Y18" s="37" t="e">
        <f>#REF!+#REF!</f>
        <v>#REF!</v>
      </c>
      <c r="Z18" s="37" t="e">
        <f t="shared" si="14"/>
        <v>#REF!</v>
      </c>
      <c r="AA18" s="249">
        <v>259960</v>
      </c>
      <c r="AB18" s="242">
        <v>78640</v>
      </c>
      <c r="AC18" s="253">
        <f t="shared" si="15"/>
        <v>338600</v>
      </c>
      <c r="AD18" s="245">
        <f t="shared" si="16"/>
        <v>250605</v>
      </c>
      <c r="AE18" s="326">
        <v>2900</v>
      </c>
      <c r="AF18" s="340">
        <v>16</v>
      </c>
      <c r="AG18" s="259">
        <v>11460.4</v>
      </c>
      <c r="AH18" s="274">
        <v>14360.4</v>
      </c>
      <c r="AI18" s="337"/>
      <c r="AJ18" s="330">
        <f t="shared" si="17"/>
        <v>288165.40000000002</v>
      </c>
      <c r="AK18" s="143">
        <f t="shared" si="18"/>
        <v>28205.400000000023</v>
      </c>
      <c r="AL18" s="125">
        <f>AF18-'проезд Лизе к бюджету 2018'!B19</f>
        <v>15</v>
      </c>
      <c r="AM18" s="200">
        <f t="shared" si="27"/>
        <v>28345</v>
      </c>
      <c r="AN18" s="200">
        <f t="shared" si="28"/>
        <v>-78640</v>
      </c>
      <c r="AO18" s="200">
        <f t="shared" si="29"/>
        <v>-50295</v>
      </c>
      <c r="AP18" s="311">
        <f t="shared" si="19"/>
        <v>28400.000000000004</v>
      </c>
      <c r="AQ18" s="311">
        <f t="shared" si="20"/>
        <v>-78640</v>
      </c>
      <c r="AR18" s="312">
        <f t="shared" si="21"/>
        <v>-50240</v>
      </c>
      <c r="AS18" s="312">
        <f t="shared" si="30"/>
        <v>-50240</v>
      </c>
      <c r="AT18" s="317"/>
      <c r="AU18">
        <v>-139.59999999997672</v>
      </c>
      <c r="AW18" s="279">
        <f t="shared" si="22"/>
        <v>288305</v>
      </c>
      <c r="AX18" s="280">
        <f t="shared" si="31"/>
        <v>250605</v>
      </c>
      <c r="AY18" s="285">
        <f t="shared" si="23"/>
        <v>37700</v>
      </c>
      <c r="AZ18" s="296">
        <f t="shared" si="24"/>
        <v>2.1666666666666665</v>
      </c>
      <c r="BA18" s="348">
        <f>ROUND(AZ18,0)*12+2</f>
        <v>26</v>
      </c>
      <c r="BB18" s="292">
        <v>1450</v>
      </c>
      <c r="BC18" s="303">
        <f t="shared" si="25"/>
        <v>37700</v>
      </c>
      <c r="BD18" s="298">
        <f t="shared" si="26"/>
        <v>0</v>
      </c>
      <c r="BE18" s="271">
        <f t="shared" si="32"/>
        <v>0</v>
      </c>
      <c r="BG18" s="37">
        <f t="shared" si="33"/>
        <v>288305</v>
      </c>
    </row>
    <row r="19" spans="1:59" x14ac:dyDescent="0.3">
      <c r="A19" s="21" t="s">
        <v>48</v>
      </c>
      <c r="B19" s="132">
        <v>331</v>
      </c>
      <c r="C19" s="95">
        <v>1</v>
      </c>
      <c r="D19" s="106">
        <v>40</v>
      </c>
      <c r="E19" s="101">
        <v>40</v>
      </c>
      <c r="F19" s="103">
        <f t="shared" si="0"/>
        <v>0</v>
      </c>
      <c r="G19" s="111">
        <v>8</v>
      </c>
      <c r="H19" s="104">
        <v>8</v>
      </c>
      <c r="I19" s="105">
        <f t="shared" si="1"/>
        <v>0</v>
      </c>
      <c r="J19" s="22">
        <f t="shared" si="2"/>
        <v>8</v>
      </c>
      <c r="K19" s="99">
        <f t="shared" si="3"/>
        <v>8</v>
      </c>
      <c r="L19" s="169">
        <f t="shared" si="4"/>
        <v>0</v>
      </c>
      <c r="M19" s="126">
        <f t="shared" si="5"/>
        <v>8</v>
      </c>
      <c r="N19" s="25">
        <v>8</v>
      </c>
      <c r="O19" s="119">
        <f t="shared" si="6"/>
        <v>222760</v>
      </c>
      <c r="P19" s="119">
        <f t="shared" si="7"/>
        <v>67273.52</v>
      </c>
      <c r="Q19" s="119">
        <f t="shared" si="8"/>
        <v>290033.52</v>
      </c>
      <c r="R19" s="24">
        <f t="shared" si="9"/>
        <v>1.1799410029498525E-2</v>
      </c>
      <c r="S19" s="120" t="e">
        <f>ROUND(R19*#REF!,0)</f>
        <v>#REF!</v>
      </c>
      <c r="T19" s="121" t="e">
        <f t="shared" si="10"/>
        <v>#REF!</v>
      </c>
      <c r="U19" s="121" t="e">
        <f t="shared" si="11"/>
        <v>#REF!</v>
      </c>
      <c r="V19" s="121" t="e">
        <f t="shared" si="12"/>
        <v>#REF!</v>
      </c>
      <c r="W19" s="122" t="e">
        <f t="shared" si="13"/>
        <v>#REF!</v>
      </c>
      <c r="X19" s="38" t="e">
        <f>W19+'проезд Лизе к бюджету 2018'!L20</f>
        <v>#REF!</v>
      </c>
      <c r="Y19" s="37" t="e">
        <f>#REF!+#REF!</f>
        <v>#REF!</v>
      </c>
      <c r="Z19" s="37" t="e">
        <f t="shared" si="14"/>
        <v>#REF!</v>
      </c>
      <c r="AA19" s="249">
        <v>157825</v>
      </c>
      <c r="AB19" s="242">
        <v>47875</v>
      </c>
      <c r="AC19" s="253">
        <f t="shared" si="15"/>
        <v>205700</v>
      </c>
      <c r="AD19" s="245">
        <f t="shared" si="16"/>
        <v>222760</v>
      </c>
      <c r="AE19" s="326">
        <v>1450</v>
      </c>
      <c r="AF19" s="340">
        <v>8</v>
      </c>
      <c r="AG19" s="259">
        <v>5717.5</v>
      </c>
      <c r="AH19" s="274">
        <v>7167.5</v>
      </c>
      <c r="AI19" s="337"/>
      <c r="AJ19" s="330">
        <f t="shared" si="17"/>
        <v>241527.5</v>
      </c>
      <c r="AK19" s="143">
        <f t="shared" si="18"/>
        <v>83702.5</v>
      </c>
      <c r="AL19" s="125">
        <f>AF19-'проезд Лизе к бюджету 2018'!B20</f>
        <v>7</v>
      </c>
      <c r="AM19" s="200">
        <f t="shared" si="27"/>
        <v>83785</v>
      </c>
      <c r="AN19" s="200">
        <f t="shared" si="28"/>
        <v>-47875</v>
      </c>
      <c r="AO19" s="200">
        <f t="shared" si="29"/>
        <v>35910</v>
      </c>
      <c r="AP19" s="311">
        <f t="shared" si="19"/>
        <v>83800</v>
      </c>
      <c r="AQ19" s="311">
        <f t="shared" si="20"/>
        <v>-47875</v>
      </c>
      <c r="AR19" s="312">
        <f t="shared" si="21"/>
        <v>35925</v>
      </c>
      <c r="AS19" s="312">
        <f t="shared" si="30"/>
        <v>35925</v>
      </c>
      <c r="AT19" s="317"/>
      <c r="AU19">
        <v>-82.5</v>
      </c>
      <c r="AW19" s="279">
        <f t="shared" si="22"/>
        <v>241610</v>
      </c>
      <c r="AX19" s="280">
        <f t="shared" si="31"/>
        <v>222760</v>
      </c>
      <c r="AY19" s="285">
        <f t="shared" si="23"/>
        <v>18850</v>
      </c>
      <c r="AZ19" s="296">
        <f t="shared" si="24"/>
        <v>1.0833333333333333</v>
      </c>
      <c r="BA19" s="348">
        <f>ROUND(AZ19,0)*12+1</f>
        <v>13</v>
      </c>
      <c r="BB19" s="292">
        <v>1450</v>
      </c>
      <c r="BC19" s="303">
        <f t="shared" si="25"/>
        <v>18850</v>
      </c>
      <c r="BD19" s="298">
        <f t="shared" si="26"/>
        <v>0</v>
      </c>
      <c r="BE19" s="271">
        <f t="shared" si="32"/>
        <v>0</v>
      </c>
      <c r="BG19" s="37">
        <f t="shared" si="33"/>
        <v>241610</v>
      </c>
    </row>
    <row r="20" spans="1:59" x14ac:dyDescent="0.3">
      <c r="A20" s="29" t="s">
        <v>0</v>
      </c>
      <c r="B20" s="132">
        <v>332</v>
      </c>
      <c r="C20" s="95">
        <v>1</v>
      </c>
      <c r="D20" s="106">
        <v>69</v>
      </c>
      <c r="E20" s="101">
        <v>67</v>
      </c>
      <c r="F20" s="103">
        <f t="shared" si="0"/>
        <v>-2</v>
      </c>
      <c r="G20" s="111">
        <v>11</v>
      </c>
      <c r="H20" s="104">
        <v>13</v>
      </c>
      <c r="I20" s="105">
        <f t="shared" si="1"/>
        <v>2</v>
      </c>
      <c r="J20" s="22">
        <f t="shared" si="2"/>
        <v>14</v>
      </c>
      <c r="K20" s="99">
        <f t="shared" si="3"/>
        <v>14</v>
      </c>
      <c r="L20" s="169">
        <f t="shared" si="4"/>
        <v>1</v>
      </c>
      <c r="M20" s="126">
        <f t="shared" si="5"/>
        <v>13</v>
      </c>
      <c r="N20" s="27">
        <v>11</v>
      </c>
      <c r="O20" s="119">
        <f t="shared" si="6"/>
        <v>306295</v>
      </c>
      <c r="P20" s="119">
        <f t="shared" si="7"/>
        <v>92501.09</v>
      </c>
      <c r="Q20" s="119">
        <f t="shared" si="8"/>
        <v>398796.08999999997</v>
      </c>
      <c r="R20" s="24">
        <f t="shared" si="9"/>
        <v>1.6224188790560472E-2</v>
      </c>
      <c r="S20" s="120" t="e">
        <f>ROUND(R20*#REF!,0)</f>
        <v>#REF!</v>
      </c>
      <c r="T20" s="121" t="e">
        <f t="shared" si="10"/>
        <v>#REF!</v>
      </c>
      <c r="U20" s="121" t="e">
        <f t="shared" si="11"/>
        <v>#REF!</v>
      </c>
      <c r="V20" s="121" t="e">
        <f t="shared" si="12"/>
        <v>#REF!</v>
      </c>
      <c r="W20" s="122" t="e">
        <f t="shared" si="13"/>
        <v>#REF!</v>
      </c>
      <c r="X20" s="38" t="e">
        <f>W20+'проезд Лизе к бюджету 2018'!L21</f>
        <v>#REF!</v>
      </c>
      <c r="Y20" s="37" t="e">
        <f>#REF!+#REF!</f>
        <v>#REF!</v>
      </c>
      <c r="Z20" s="37" t="e">
        <f t="shared" si="14"/>
        <v>#REF!</v>
      </c>
      <c r="AA20" s="249">
        <v>278450</v>
      </c>
      <c r="AB20" s="242">
        <v>84150</v>
      </c>
      <c r="AC20" s="253">
        <f t="shared" si="15"/>
        <v>362600</v>
      </c>
      <c r="AD20" s="245">
        <f t="shared" si="16"/>
        <v>361985</v>
      </c>
      <c r="AE20" s="326"/>
      <c r="AF20" s="340">
        <v>0</v>
      </c>
      <c r="AG20" s="259"/>
      <c r="AH20" s="274"/>
      <c r="AI20" s="337"/>
      <c r="AJ20" s="330">
        <f t="shared" si="17"/>
        <v>361985</v>
      </c>
      <c r="AK20" s="143">
        <f t="shared" si="18"/>
        <v>83535</v>
      </c>
      <c r="AL20" s="125">
        <f>AF20-'проезд Лизе к бюджету 2018'!B21</f>
        <v>0</v>
      </c>
      <c r="AM20" s="200">
        <f t="shared" si="27"/>
        <v>83535</v>
      </c>
      <c r="AN20" s="200">
        <f t="shared" si="28"/>
        <v>-84150</v>
      </c>
      <c r="AO20" s="200">
        <f t="shared" si="29"/>
        <v>-615</v>
      </c>
      <c r="AP20" s="311">
        <f t="shared" si="19"/>
        <v>83600</v>
      </c>
      <c r="AQ20" s="311">
        <f t="shared" si="20"/>
        <v>-84150</v>
      </c>
      <c r="AR20" s="312">
        <f t="shared" si="21"/>
        <v>-550</v>
      </c>
      <c r="AS20" s="312">
        <f t="shared" si="30"/>
        <v>-550</v>
      </c>
      <c r="AT20" s="317"/>
      <c r="AU20">
        <v>0</v>
      </c>
      <c r="AW20" s="279">
        <f t="shared" si="22"/>
        <v>361985</v>
      </c>
      <c r="AX20" s="280">
        <f t="shared" si="31"/>
        <v>361985</v>
      </c>
      <c r="AY20" s="285">
        <f t="shared" si="23"/>
        <v>0</v>
      </c>
      <c r="AZ20" s="296">
        <f t="shared" si="24"/>
        <v>0</v>
      </c>
      <c r="BA20" s="348">
        <f>ROUND(AZ20,0)*12</f>
        <v>0</v>
      </c>
      <c r="BB20" s="292">
        <v>1450</v>
      </c>
      <c r="BC20" s="303">
        <f t="shared" si="25"/>
        <v>0</v>
      </c>
      <c r="BD20" s="298">
        <f t="shared" si="26"/>
        <v>0</v>
      </c>
      <c r="BE20" s="271">
        <f t="shared" si="32"/>
        <v>0</v>
      </c>
      <c r="BG20" s="37">
        <f t="shared" si="33"/>
        <v>361985</v>
      </c>
    </row>
    <row r="21" spans="1:59" x14ac:dyDescent="0.3">
      <c r="A21" s="21" t="s">
        <v>1</v>
      </c>
      <c r="B21" s="132">
        <v>333</v>
      </c>
      <c r="C21" s="95">
        <v>4</v>
      </c>
      <c r="D21" s="106">
        <v>72</v>
      </c>
      <c r="E21" s="101">
        <v>91</v>
      </c>
      <c r="F21" s="103">
        <f t="shared" si="0"/>
        <v>19</v>
      </c>
      <c r="G21" s="111">
        <v>24</v>
      </c>
      <c r="H21" s="104">
        <v>18</v>
      </c>
      <c r="I21" s="105">
        <f t="shared" si="1"/>
        <v>-6</v>
      </c>
      <c r="J21" s="22">
        <f t="shared" si="2"/>
        <v>15</v>
      </c>
      <c r="K21" s="99">
        <f t="shared" si="3"/>
        <v>19</v>
      </c>
      <c r="L21" s="169">
        <f t="shared" si="4"/>
        <v>1</v>
      </c>
      <c r="M21" s="126">
        <f t="shared" si="5"/>
        <v>18</v>
      </c>
      <c r="N21" s="27">
        <v>4</v>
      </c>
      <c r="O21" s="119">
        <f t="shared" si="6"/>
        <v>111380</v>
      </c>
      <c r="P21" s="119">
        <f t="shared" si="7"/>
        <v>33636.76</v>
      </c>
      <c r="Q21" s="119">
        <f t="shared" si="8"/>
        <v>145016.76</v>
      </c>
      <c r="R21" s="24">
        <f t="shared" si="9"/>
        <v>5.8997050147492625E-3</v>
      </c>
      <c r="S21" s="120" t="e">
        <f>ROUND(R21*#REF!,0)</f>
        <v>#REF!</v>
      </c>
      <c r="T21" s="121" t="e">
        <f t="shared" si="10"/>
        <v>#REF!</v>
      </c>
      <c r="U21" s="121" t="e">
        <f t="shared" si="11"/>
        <v>#REF!</v>
      </c>
      <c r="V21" s="121" t="e">
        <f t="shared" si="12"/>
        <v>#REF!</v>
      </c>
      <c r="W21" s="122" t="e">
        <f t="shared" si="13"/>
        <v>#REF!</v>
      </c>
      <c r="X21" s="38" t="e">
        <f>W21+'проезд Лизе к бюджету 2018'!L22</f>
        <v>#REF!</v>
      </c>
      <c r="Y21" s="37" t="e">
        <f>#REF!+#REF!</f>
        <v>#REF!</v>
      </c>
      <c r="Z21" s="37" t="e">
        <f t="shared" si="14"/>
        <v>#REF!</v>
      </c>
      <c r="AA21" s="249">
        <v>278450</v>
      </c>
      <c r="AB21" s="242">
        <v>84150</v>
      </c>
      <c r="AC21" s="253">
        <f t="shared" si="15"/>
        <v>362600</v>
      </c>
      <c r="AD21" s="245">
        <f t="shared" si="16"/>
        <v>501210</v>
      </c>
      <c r="AE21" s="326"/>
      <c r="AF21" s="340">
        <v>0</v>
      </c>
      <c r="AG21" s="259"/>
      <c r="AH21" s="274"/>
      <c r="AI21" s="337"/>
      <c r="AJ21" s="330">
        <f t="shared" si="17"/>
        <v>501210</v>
      </c>
      <c r="AK21" s="143">
        <f t="shared" si="18"/>
        <v>222760</v>
      </c>
      <c r="AL21" s="125">
        <f>AF21-'проезд Лизе к бюджету 2018'!B22</f>
        <v>0</v>
      </c>
      <c r="AM21" s="200">
        <f t="shared" si="27"/>
        <v>222760</v>
      </c>
      <c r="AN21" s="200">
        <f t="shared" si="28"/>
        <v>-84150</v>
      </c>
      <c r="AO21" s="200">
        <f t="shared" si="29"/>
        <v>138610</v>
      </c>
      <c r="AP21" s="311">
        <f t="shared" si="19"/>
        <v>222799.99999999997</v>
      </c>
      <c r="AQ21" s="311">
        <f t="shared" si="20"/>
        <v>-84150</v>
      </c>
      <c r="AR21" s="312">
        <f t="shared" si="21"/>
        <v>138649.99999999997</v>
      </c>
      <c r="AS21" s="312">
        <f t="shared" si="30"/>
        <v>138649.99999999997</v>
      </c>
      <c r="AT21" s="317"/>
      <c r="AU21">
        <v>0</v>
      </c>
      <c r="AW21" s="279">
        <f t="shared" si="22"/>
        <v>501210</v>
      </c>
      <c r="AX21" s="280">
        <f t="shared" si="31"/>
        <v>501210</v>
      </c>
      <c r="AY21" s="285">
        <f t="shared" si="23"/>
        <v>0</v>
      </c>
      <c r="AZ21" s="296">
        <f t="shared" si="24"/>
        <v>0</v>
      </c>
      <c r="BA21" s="348">
        <f>ROUND(AZ21,0)*12</f>
        <v>0</v>
      </c>
      <c r="BB21" s="292">
        <v>1450</v>
      </c>
      <c r="BC21" s="303">
        <f t="shared" si="25"/>
        <v>0</v>
      </c>
      <c r="BD21" s="298">
        <f t="shared" si="26"/>
        <v>0</v>
      </c>
      <c r="BE21" s="271">
        <f t="shared" si="32"/>
        <v>0</v>
      </c>
      <c r="BG21" s="37">
        <f t="shared" si="33"/>
        <v>501210</v>
      </c>
    </row>
    <row r="22" spans="1:59" x14ac:dyDescent="0.3">
      <c r="A22" s="21" t="s">
        <v>2</v>
      </c>
      <c r="B22" s="132">
        <v>334</v>
      </c>
      <c r="C22" s="95">
        <v>2</v>
      </c>
      <c r="D22" s="106">
        <v>39</v>
      </c>
      <c r="E22" s="101">
        <v>36</v>
      </c>
      <c r="F22" s="103">
        <f t="shared" si="0"/>
        <v>-3</v>
      </c>
      <c r="G22" s="111">
        <v>8</v>
      </c>
      <c r="H22" s="104">
        <v>5</v>
      </c>
      <c r="I22" s="105">
        <f t="shared" si="1"/>
        <v>-3</v>
      </c>
      <c r="J22" s="22">
        <f t="shared" si="2"/>
        <v>8</v>
      </c>
      <c r="K22" s="99">
        <f t="shared" si="3"/>
        <v>8</v>
      </c>
      <c r="L22" s="169">
        <f t="shared" si="4"/>
        <v>3</v>
      </c>
      <c r="M22" s="126">
        <f t="shared" si="5"/>
        <v>5</v>
      </c>
      <c r="N22" s="25">
        <v>8</v>
      </c>
      <c r="O22" s="119">
        <f t="shared" si="6"/>
        <v>222760</v>
      </c>
      <c r="P22" s="119">
        <f t="shared" si="7"/>
        <v>67273.52</v>
      </c>
      <c r="Q22" s="119">
        <f t="shared" si="8"/>
        <v>290033.52</v>
      </c>
      <c r="R22" s="24">
        <f t="shared" si="9"/>
        <v>1.1799410029498525E-2</v>
      </c>
      <c r="S22" s="120" t="e">
        <f>ROUND(R22*#REF!,0)</f>
        <v>#REF!</v>
      </c>
      <c r="T22" s="121" t="e">
        <f t="shared" si="10"/>
        <v>#REF!</v>
      </c>
      <c r="U22" s="121" t="e">
        <f t="shared" si="11"/>
        <v>#REF!</v>
      </c>
      <c r="V22" s="121" t="e">
        <f t="shared" si="12"/>
        <v>#REF!</v>
      </c>
      <c r="W22" s="122" t="e">
        <f t="shared" si="13"/>
        <v>#REF!</v>
      </c>
      <c r="X22" s="38" t="e">
        <f>W22+'проезд Лизе к бюджету 2018'!L23</f>
        <v>#REF!</v>
      </c>
      <c r="Y22" s="37" t="e">
        <f>#REF!+#REF!</f>
        <v>#REF!</v>
      </c>
      <c r="Z22" s="37" t="e">
        <f t="shared" si="14"/>
        <v>#REF!</v>
      </c>
      <c r="AA22" s="249">
        <v>167180</v>
      </c>
      <c r="AB22" s="242">
        <v>50620</v>
      </c>
      <c r="AC22" s="253">
        <f t="shared" si="15"/>
        <v>217800</v>
      </c>
      <c r="AD22" s="245">
        <f t="shared" si="16"/>
        <v>139225</v>
      </c>
      <c r="AE22" s="326">
        <v>4350</v>
      </c>
      <c r="AF22" s="340">
        <v>24</v>
      </c>
      <c r="AG22" s="259">
        <v>17353.3</v>
      </c>
      <c r="AH22" s="274">
        <v>21703.3</v>
      </c>
      <c r="AI22" s="337"/>
      <c r="AJ22" s="330">
        <f t="shared" si="17"/>
        <v>195728.3</v>
      </c>
      <c r="AK22" s="143">
        <f t="shared" si="18"/>
        <v>28548.299999999988</v>
      </c>
      <c r="AL22" s="125">
        <f>AF22-'проезд Лизе к бюджету 2018'!B23</f>
        <v>22</v>
      </c>
      <c r="AM22" s="200">
        <f t="shared" si="27"/>
        <v>28595</v>
      </c>
      <c r="AN22" s="200">
        <f t="shared" si="28"/>
        <v>-50620</v>
      </c>
      <c r="AO22" s="200">
        <f t="shared" si="29"/>
        <v>-22025</v>
      </c>
      <c r="AP22" s="311">
        <f t="shared" si="19"/>
        <v>28600</v>
      </c>
      <c r="AQ22" s="311">
        <f t="shared" si="20"/>
        <v>-50620</v>
      </c>
      <c r="AR22" s="312">
        <f t="shared" si="21"/>
        <v>-22020</v>
      </c>
      <c r="AS22" s="312">
        <f t="shared" si="30"/>
        <v>-22020</v>
      </c>
      <c r="AT22" s="317"/>
      <c r="AU22">
        <v>-46.700000000011642</v>
      </c>
      <c r="AW22" s="279">
        <f t="shared" si="22"/>
        <v>195775</v>
      </c>
      <c r="AX22" s="280">
        <f t="shared" si="31"/>
        <v>139225</v>
      </c>
      <c r="AY22" s="285">
        <f t="shared" si="23"/>
        <v>56550</v>
      </c>
      <c r="AZ22" s="296">
        <f t="shared" si="24"/>
        <v>3.25</v>
      </c>
      <c r="BA22" s="348">
        <f>ROUND(AZ22,0)*12+3</f>
        <v>39</v>
      </c>
      <c r="BB22" s="292">
        <v>1450</v>
      </c>
      <c r="BC22" s="303">
        <f t="shared" si="25"/>
        <v>56550</v>
      </c>
      <c r="BD22" s="298">
        <f t="shared" si="26"/>
        <v>0</v>
      </c>
      <c r="BE22" s="271">
        <f t="shared" si="32"/>
        <v>0</v>
      </c>
      <c r="BG22" s="37">
        <f t="shared" si="33"/>
        <v>195775</v>
      </c>
    </row>
    <row r="23" spans="1:59" x14ac:dyDescent="0.3">
      <c r="A23" s="21" t="s">
        <v>3</v>
      </c>
      <c r="B23" s="132">
        <v>336</v>
      </c>
      <c r="C23" s="95">
        <v>1</v>
      </c>
      <c r="D23" s="106"/>
      <c r="E23" s="101">
        <v>34</v>
      </c>
      <c r="F23" s="103">
        <f t="shared" si="0"/>
        <v>34</v>
      </c>
      <c r="G23" s="111"/>
      <c r="H23" s="104">
        <v>10</v>
      </c>
      <c r="I23" s="105">
        <f t="shared" si="1"/>
        <v>10</v>
      </c>
      <c r="J23" s="22">
        <f t="shared" si="2"/>
        <v>0</v>
      </c>
      <c r="K23" s="170">
        <f t="shared" si="3"/>
        <v>7</v>
      </c>
      <c r="L23" s="169">
        <f t="shared" si="4"/>
        <v>-3</v>
      </c>
      <c r="M23" s="126">
        <f t="shared" si="5"/>
        <v>7</v>
      </c>
      <c r="N23" s="27"/>
      <c r="O23" s="119">
        <f t="shared" si="6"/>
        <v>0</v>
      </c>
      <c r="P23" s="119">
        <f t="shared" si="7"/>
        <v>0</v>
      </c>
      <c r="Q23" s="119">
        <f t="shared" si="8"/>
        <v>0</v>
      </c>
      <c r="R23" s="24">
        <f t="shared" si="9"/>
        <v>0</v>
      </c>
      <c r="S23" s="120" t="e">
        <f>ROUND(R23*#REF!,0)</f>
        <v>#REF!</v>
      </c>
      <c r="T23" s="121" t="e">
        <f t="shared" si="10"/>
        <v>#REF!</v>
      </c>
      <c r="U23" s="121" t="e">
        <f t="shared" si="11"/>
        <v>#REF!</v>
      </c>
      <c r="V23" s="121" t="e">
        <f t="shared" si="12"/>
        <v>#REF!</v>
      </c>
      <c r="W23" s="122" t="e">
        <f t="shared" si="13"/>
        <v>#REF!</v>
      </c>
      <c r="X23" s="38" t="e">
        <f>W23+'проезд Лизе к бюджету 2018'!L24</f>
        <v>#REF!</v>
      </c>
      <c r="Y23" s="37" t="e">
        <f>#REF!+#REF!</f>
        <v>#REF!</v>
      </c>
      <c r="Z23" s="37" t="e">
        <f t="shared" si="14"/>
        <v>#REF!</v>
      </c>
      <c r="AA23" s="249">
        <v>157935</v>
      </c>
      <c r="AB23" s="242">
        <v>47865</v>
      </c>
      <c r="AC23" s="253">
        <f t="shared" si="15"/>
        <v>205800</v>
      </c>
      <c r="AD23" s="245">
        <f t="shared" si="16"/>
        <v>194915</v>
      </c>
      <c r="AE23" s="326">
        <v>1450</v>
      </c>
      <c r="AF23" s="340">
        <v>20</v>
      </c>
      <c r="AG23" s="259">
        <v>23121.599999999999</v>
      </c>
      <c r="AH23" s="274">
        <v>28921.599999999999</v>
      </c>
      <c r="AI23" s="337"/>
      <c r="AJ23" s="330">
        <f t="shared" si="17"/>
        <v>252836.6</v>
      </c>
      <c r="AK23" s="143">
        <f t="shared" si="18"/>
        <v>94901.6</v>
      </c>
      <c r="AL23" s="125">
        <f>AF23-'проезд Лизе к бюджету 2018'!B24</f>
        <v>16</v>
      </c>
      <c r="AM23" s="200">
        <f t="shared" si="27"/>
        <v>94980</v>
      </c>
      <c r="AN23" s="200">
        <f t="shared" si="28"/>
        <v>-47865</v>
      </c>
      <c r="AO23" s="200">
        <f t="shared" si="29"/>
        <v>47115</v>
      </c>
      <c r="AP23" s="311">
        <f t="shared" si="19"/>
        <v>95000</v>
      </c>
      <c r="AQ23" s="311">
        <f t="shared" si="20"/>
        <v>-47865</v>
      </c>
      <c r="AR23" s="312">
        <f t="shared" si="21"/>
        <v>47135</v>
      </c>
      <c r="AS23" s="312">
        <f t="shared" si="30"/>
        <v>47135</v>
      </c>
      <c r="AT23" s="317"/>
      <c r="AU23">
        <v>-78.399999999994179</v>
      </c>
      <c r="AW23" s="279">
        <f t="shared" si="22"/>
        <v>252915</v>
      </c>
      <c r="AX23" s="280">
        <f t="shared" si="31"/>
        <v>194915</v>
      </c>
      <c r="AY23" s="285">
        <f t="shared" si="23"/>
        <v>58000</v>
      </c>
      <c r="AZ23" s="296">
        <f t="shared" si="24"/>
        <v>3.3333333333333335</v>
      </c>
      <c r="BA23" s="348">
        <f>ROUND(AZ23,0)*12+4</f>
        <v>40</v>
      </c>
      <c r="BB23" s="292">
        <v>1450</v>
      </c>
      <c r="BC23" s="303">
        <f t="shared" si="25"/>
        <v>58000</v>
      </c>
      <c r="BD23" s="298">
        <f t="shared" si="26"/>
        <v>0</v>
      </c>
      <c r="BE23" s="271">
        <f t="shared" si="32"/>
        <v>0</v>
      </c>
      <c r="BG23" s="37">
        <f t="shared" si="33"/>
        <v>252915</v>
      </c>
    </row>
    <row r="24" spans="1:59" x14ac:dyDescent="0.3">
      <c r="A24" s="21" t="s">
        <v>4</v>
      </c>
      <c r="B24" s="132">
        <v>337</v>
      </c>
      <c r="C24" s="95">
        <v>2</v>
      </c>
      <c r="D24" s="106">
        <v>43</v>
      </c>
      <c r="E24" s="101">
        <v>43</v>
      </c>
      <c r="F24" s="103">
        <f t="shared" si="0"/>
        <v>0</v>
      </c>
      <c r="G24" s="111">
        <v>5</v>
      </c>
      <c r="H24" s="104">
        <v>9</v>
      </c>
      <c r="I24" s="105">
        <f t="shared" si="1"/>
        <v>4</v>
      </c>
      <c r="J24" s="22">
        <f t="shared" si="2"/>
        <v>9</v>
      </c>
      <c r="K24" s="99">
        <f t="shared" si="3"/>
        <v>9</v>
      </c>
      <c r="L24" s="169">
        <f t="shared" si="4"/>
        <v>0</v>
      </c>
      <c r="M24" s="126">
        <f t="shared" si="5"/>
        <v>9</v>
      </c>
      <c r="N24" s="28">
        <v>5</v>
      </c>
      <c r="O24" s="119">
        <f t="shared" si="6"/>
        <v>139225</v>
      </c>
      <c r="P24" s="119">
        <f t="shared" si="7"/>
        <v>42045.95</v>
      </c>
      <c r="Q24" s="119">
        <f t="shared" si="8"/>
        <v>181270.95</v>
      </c>
      <c r="R24" s="24">
        <f t="shared" si="9"/>
        <v>7.3746312684365781E-3</v>
      </c>
      <c r="S24" s="120" t="e">
        <f>ROUND(R24*#REF!,0)</f>
        <v>#REF!</v>
      </c>
      <c r="T24" s="121" t="e">
        <f t="shared" si="10"/>
        <v>#REF!</v>
      </c>
      <c r="U24" s="121" t="e">
        <f t="shared" si="11"/>
        <v>#REF!</v>
      </c>
      <c r="V24" s="121" t="e">
        <f t="shared" si="12"/>
        <v>#REF!</v>
      </c>
      <c r="W24" s="122" t="e">
        <f t="shared" si="13"/>
        <v>#REF!</v>
      </c>
      <c r="X24" s="38" t="e">
        <f>W24+'проезд Лизе к бюджету 2018'!L25</f>
        <v>#REF!</v>
      </c>
      <c r="Y24" s="37" t="e">
        <f>#REF!+#REF!</f>
        <v>#REF!</v>
      </c>
      <c r="Z24" s="37" t="e">
        <f t="shared" si="14"/>
        <v>#REF!</v>
      </c>
      <c r="AA24" s="249">
        <v>232115</v>
      </c>
      <c r="AB24" s="242">
        <v>70285</v>
      </c>
      <c r="AC24" s="253">
        <f t="shared" si="15"/>
        <v>302400</v>
      </c>
      <c r="AD24" s="245">
        <f t="shared" si="16"/>
        <v>250605</v>
      </c>
      <c r="AE24" s="326">
        <v>2900</v>
      </c>
      <c r="AF24" s="340">
        <v>16</v>
      </c>
      <c r="AG24" s="259">
        <v>11510.619999999999</v>
      </c>
      <c r="AH24" s="274">
        <v>14410.62</v>
      </c>
      <c r="AI24" s="337"/>
      <c r="AJ24" s="330">
        <f t="shared" si="17"/>
        <v>288215.62</v>
      </c>
      <c r="AK24" s="143">
        <f t="shared" si="18"/>
        <v>56100.619999999995</v>
      </c>
      <c r="AL24" s="125">
        <f>AF24-'проезд Лизе к бюджету 2018'!B25</f>
        <v>14</v>
      </c>
      <c r="AM24" s="200">
        <f t="shared" si="27"/>
        <v>56190</v>
      </c>
      <c r="AN24" s="200">
        <f t="shared" si="28"/>
        <v>-70285</v>
      </c>
      <c r="AO24" s="200">
        <f t="shared" si="29"/>
        <v>-14095</v>
      </c>
      <c r="AP24" s="311">
        <f t="shared" si="19"/>
        <v>56200</v>
      </c>
      <c r="AQ24" s="311">
        <f t="shared" si="20"/>
        <v>-70285</v>
      </c>
      <c r="AR24" s="312">
        <f t="shared" si="21"/>
        <v>-14085</v>
      </c>
      <c r="AS24" s="312">
        <f t="shared" si="30"/>
        <v>-14085</v>
      </c>
      <c r="AT24" s="317"/>
      <c r="AU24">
        <v>-89.380000000004657</v>
      </c>
      <c r="AW24" s="279">
        <f t="shared" si="22"/>
        <v>288305</v>
      </c>
      <c r="AX24" s="280">
        <f t="shared" si="31"/>
        <v>250605</v>
      </c>
      <c r="AY24" s="285">
        <f t="shared" si="23"/>
        <v>37700</v>
      </c>
      <c r="AZ24" s="296">
        <f t="shared" si="24"/>
        <v>2.1666666666666665</v>
      </c>
      <c r="BA24" s="348">
        <f>ROUND(AZ24,0)*12+2</f>
        <v>26</v>
      </c>
      <c r="BB24" s="292">
        <v>1450</v>
      </c>
      <c r="BC24" s="303">
        <f t="shared" si="25"/>
        <v>37700</v>
      </c>
      <c r="BD24" s="298">
        <f t="shared" si="26"/>
        <v>0</v>
      </c>
      <c r="BE24" s="271">
        <f t="shared" si="32"/>
        <v>0</v>
      </c>
      <c r="BG24" s="37">
        <f t="shared" si="33"/>
        <v>288305</v>
      </c>
    </row>
    <row r="25" spans="1:59" x14ac:dyDescent="0.3">
      <c r="A25" s="29" t="s">
        <v>15</v>
      </c>
      <c r="B25" s="132">
        <v>338</v>
      </c>
      <c r="C25" s="95">
        <v>7</v>
      </c>
      <c r="D25" s="106">
        <v>50</v>
      </c>
      <c r="E25" s="101">
        <v>47</v>
      </c>
      <c r="F25" s="103">
        <f t="shared" si="0"/>
        <v>-3</v>
      </c>
      <c r="G25" s="111">
        <v>8</v>
      </c>
      <c r="H25" s="104">
        <v>10</v>
      </c>
      <c r="I25" s="105">
        <f t="shared" si="1"/>
        <v>2</v>
      </c>
      <c r="J25" s="22">
        <f t="shared" si="2"/>
        <v>10</v>
      </c>
      <c r="K25" s="99">
        <f t="shared" si="3"/>
        <v>10</v>
      </c>
      <c r="L25" s="169">
        <f t="shared" si="4"/>
        <v>0</v>
      </c>
      <c r="M25" s="126">
        <f t="shared" si="5"/>
        <v>10</v>
      </c>
      <c r="N25" s="25">
        <v>8</v>
      </c>
      <c r="O25" s="119">
        <f t="shared" si="6"/>
        <v>222760</v>
      </c>
      <c r="P25" s="119">
        <f t="shared" si="7"/>
        <v>67273.52</v>
      </c>
      <c r="Q25" s="119">
        <f t="shared" si="8"/>
        <v>290033.52</v>
      </c>
      <c r="R25" s="24">
        <f t="shared" si="9"/>
        <v>1.1799410029498525E-2</v>
      </c>
      <c r="S25" s="120" t="e">
        <f>ROUND(R25*#REF!,0)</f>
        <v>#REF!</v>
      </c>
      <c r="T25" s="121" t="e">
        <f t="shared" si="10"/>
        <v>#REF!</v>
      </c>
      <c r="U25" s="121" t="e">
        <f t="shared" si="11"/>
        <v>#REF!</v>
      </c>
      <c r="V25" s="121" t="e">
        <f t="shared" si="12"/>
        <v>#REF!</v>
      </c>
      <c r="W25" s="122" t="e">
        <f t="shared" si="13"/>
        <v>#REF!</v>
      </c>
      <c r="X25" s="38" t="e">
        <f>W25+'проезд Лизе к бюджету 2018'!L26</f>
        <v>#REF!</v>
      </c>
      <c r="Y25" s="37" t="e">
        <f>#REF!+#REF!</f>
        <v>#REF!</v>
      </c>
      <c r="Z25" s="37" t="e">
        <f t="shared" si="14"/>
        <v>#REF!</v>
      </c>
      <c r="AA25" s="249">
        <v>287915</v>
      </c>
      <c r="AB25" s="242">
        <v>87085</v>
      </c>
      <c r="AC25" s="253">
        <f t="shared" si="15"/>
        <v>375000</v>
      </c>
      <c r="AD25" s="245">
        <f t="shared" si="16"/>
        <v>278450</v>
      </c>
      <c r="AE25" s="326">
        <v>7250</v>
      </c>
      <c r="AF25" s="340">
        <v>40</v>
      </c>
      <c r="AG25" s="259">
        <v>28859.1</v>
      </c>
      <c r="AH25" s="274">
        <v>36109.1</v>
      </c>
      <c r="AI25" s="337"/>
      <c r="AJ25" s="330">
        <f t="shared" si="17"/>
        <v>372559.1</v>
      </c>
      <c r="AK25" s="143">
        <f t="shared" si="18"/>
        <v>84644.099999999977</v>
      </c>
      <c r="AL25" s="125">
        <f>AF25-'проезд Лизе к бюджету 2018'!B26</f>
        <v>36</v>
      </c>
      <c r="AM25" s="200">
        <f t="shared" si="27"/>
        <v>84785</v>
      </c>
      <c r="AN25" s="200">
        <f t="shared" si="28"/>
        <v>-87085</v>
      </c>
      <c r="AO25" s="200">
        <f t="shared" si="29"/>
        <v>-2300</v>
      </c>
      <c r="AP25" s="311">
        <f t="shared" si="19"/>
        <v>84800</v>
      </c>
      <c r="AQ25" s="311">
        <f t="shared" si="20"/>
        <v>-87085</v>
      </c>
      <c r="AR25" s="312">
        <f t="shared" si="21"/>
        <v>-2285</v>
      </c>
      <c r="AS25" s="312">
        <f t="shared" si="30"/>
        <v>-2285</v>
      </c>
      <c r="AT25" s="317"/>
      <c r="AU25">
        <v>-140.90000000002328</v>
      </c>
      <c r="AW25" s="279">
        <f t="shared" si="22"/>
        <v>372700</v>
      </c>
      <c r="AX25" s="280">
        <f t="shared" si="31"/>
        <v>278450</v>
      </c>
      <c r="AY25" s="285">
        <f t="shared" si="23"/>
        <v>94250</v>
      </c>
      <c r="AZ25" s="296">
        <f t="shared" si="24"/>
        <v>5.416666666666667</v>
      </c>
      <c r="BA25" s="348">
        <f>ROUND(AZ25,0)*12+5</f>
        <v>65</v>
      </c>
      <c r="BB25" s="292">
        <v>1450</v>
      </c>
      <c r="BC25" s="303">
        <f t="shared" si="25"/>
        <v>94250</v>
      </c>
      <c r="BD25" s="298">
        <f t="shared" si="26"/>
        <v>0</v>
      </c>
      <c r="BE25" s="271">
        <f t="shared" si="32"/>
        <v>0</v>
      </c>
      <c r="BG25" s="37">
        <f t="shared" si="33"/>
        <v>372700</v>
      </c>
    </row>
    <row r="26" spans="1:59" x14ac:dyDescent="0.3">
      <c r="A26" s="21" t="s">
        <v>16</v>
      </c>
      <c r="B26" s="132">
        <v>339</v>
      </c>
      <c r="C26" s="95">
        <v>3</v>
      </c>
      <c r="D26" s="106">
        <v>70</v>
      </c>
      <c r="E26" s="101">
        <v>70</v>
      </c>
      <c r="F26" s="103">
        <f t="shared" si="0"/>
        <v>0</v>
      </c>
      <c r="G26" s="111">
        <v>19</v>
      </c>
      <c r="H26" s="104">
        <v>18</v>
      </c>
      <c r="I26" s="105">
        <f t="shared" si="1"/>
        <v>-1</v>
      </c>
      <c r="J26" s="22">
        <f t="shared" si="2"/>
        <v>14</v>
      </c>
      <c r="K26" s="170">
        <f t="shared" si="3"/>
        <v>14</v>
      </c>
      <c r="L26" s="169">
        <f t="shared" si="4"/>
        <v>-4</v>
      </c>
      <c r="M26" s="126">
        <f t="shared" si="5"/>
        <v>14</v>
      </c>
      <c r="N26" s="27">
        <v>14</v>
      </c>
      <c r="O26" s="119">
        <f t="shared" si="6"/>
        <v>389830</v>
      </c>
      <c r="P26" s="119">
        <f t="shared" si="7"/>
        <v>117728.66</v>
      </c>
      <c r="Q26" s="119">
        <f t="shared" si="8"/>
        <v>507558.66000000003</v>
      </c>
      <c r="R26" s="24">
        <f t="shared" si="9"/>
        <v>2.0648967551622419E-2</v>
      </c>
      <c r="S26" s="120" t="e">
        <f>ROUND(R26*#REF!,0)</f>
        <v>#REF!</v>
      </c>
      <c r="T26" s="121" t="e">
        <f t="shared" si="10"/>
        <v>#REF!</v>
      </c>
      <c r="U26" s="121" t="e">
        <f t="shared" si="11"/>
        <v>#REF!</v>
      </c>
      <c r="V26" s="121" t="e">
        <f t="shared" si="12"/>
        <v>#REF!</v>
      </c>
      <c r="W26" s="122" t="e">
        <f t="shared" si="13"/>
        <v>#REF!</v>
      </c>
      <c r="X26" s="38" t="e">
        <f>W26+'проезд Лизе к бюджету 2018'!L27</f>
        <v>#REF!</v>
      </c>
      <c r="Y26" s="37" t="e">
        <f>#REF!+#REF!</f>
        <v>#REF!</v>
      </c>
      <c r="Z26" s="37" t="e">
        <f t="shared" si="14"/>
        <v>#REF!</v>
      </c>
      <c r="AA26" s="249">
        <v>362095</v>
      </c>
      <c r="AB26" s="242">
        <v>109505</v>
      </c>
      <c r="AC26" s="253">
        <f t="shared" si="15"/>
        <v>471600</v>
      </c>
      <c r="AD26" s="245">
        <f t="shared" si="16"/>
        <v>389830</v>
      </c>
      <c r="AE26" s="326">
        <v>4350</v>
      </c>
      <c r="AF26" s="340">
        <v>24</v>
      </c>
      <c r="AG26" s="259">
        <v>17298.059999999998</v>
      </c>
      <c r="AH26" s="274">
        <v>21648.06</v>
      </c>
      <c r="AI26" s="337"/>
      <c r="AJ26" s="330">
        <f t="shared" si="17"/>
        <v>446278.06</v>
      </c>
      <c r="AK26" s="143">
        <f t="shared" si="18"/>
        <v>84183.06</v>
      </c>
      <c r="AL26" s="125">
        <f>AF26-'проезд Лизе к бюджету 2018'!B27</f>
        <v>20</v>
      </c>
      <c r="AM26" s="200">
        <f t="shared" si="27"/>
        <v>84285</v>
      </c>
      <c r="AN26" s="200">
        <f t="shared" si="28"/>
        <v>-109505</v>
      </c>
      <c r="AO26" s="200">
        <f t="shared" si="29"/>
        <v>-25220</v>
      </c>
      <c r="AP26" s="311">
        <f t="shared" si="19"/>
        <v>84300</v>
      </c>
      <c r="AQ26" s="311">
        <f t="shared" si="20"/>
        <v>-109505</v>
      </c>
      <c r="AR26" s="312">
        <f t="shared" si="21"/>
        <v>-25205</v>
      </c>
      <c r="AS26" s="312">
        <f t="shared" si="30"/>
        <v>-25205</v>
      </c>
      <c r="AT26" s="317"/>
      <c r="AU26">
        <v>-101.94000000000233</v>
      </c>
      <c r="AW26" s="279">
        <f t="shared" si="22"/>
        <v>446380</v>
      </c>
      <c r="AX26" s="280">
        <f t="shared" si="31"/>
        <v>389830</v>
      </c>
      <c r="AY26" s="285">
        <f t="shared" si="23"/>
        <v>56550</v>
      </c>
      <c r="AZ26" s="296">
        <f t="shared" si="24"/>
        <v>3.25</v>
      </c>
      <c r="BA26" s="348">
        <f>ROUND(AZ26,0)*12+3</f>
        <v>39</v>
      </c>
      <c r="BB26" s="292">
        <v>1450</v>
      </c>
      <c r="BC26" s="303">
        <f t="shared" si="25"/>
        <v>56550</v>
      </c>
      <c r="BD26" s="298">
        <f t="shared" si="26"/>
        <v>0</v>
      </c>
      <c r="BE26" s="271">
        <f t="shared" si="32"/>
        <v>0</v>
      </c>
      <c r="BG26" s="37">
        <f t="shared" si="33"/>
        <v>446380</v>
      </c>
    </row>
    <row r="27" spans="1:59" x14ac:dyDescent="0.3">
      <c r="A27" s="21" t="s">
        <v>17</v>
      </c>
      <c r="B27" s="132">
        <v>340</v>
      </c>
      <c r="C27" s="95">
        <v>2</v>
      </c>
      <c r="D27" s="106">
        <v>28</v>
      </c>
      <c r="E27" s="101">
        <v>28</v>
      </c>
      <c r="F27" s="103">
        <f t="shared" si="0"/>
        <v>0</v>
      </c>
      <c r="G27" s="111">
        <v>8</v>
      </c>
      <c r="H27" s="104">
        <v>7</v>
      </c>
      <c r="I27" s="105">
        <f t="shared" si="1"/>
        <v>-1</v>
      </c>
      <c r="J27" s="22">
        <f t="shared" si="2"/>
        <v>6</v>
      </c>
      <c r="K27" s="99">
        <f t="shared" si="3"/>
        <v>6</v>
      </c>
      <c r="L27" s="169">
        <f t="shared" si="4"/>
        <v>-1</v>
      </c>
      <c r="M27" s="178">
        <f>IF(H27&gt;K27,K27,H27)+1</f>
        <v>7</v>
      </c>
      <c r="N27" s="25">
        <v>6</v>
      </c>
      <c r="O27" s="119">
        <f t="shared" si="6"/>
        <v>167070</v>
      </c>
      <c r="P27" s="119">
        <f t="shared" si="7"/>
        <v>50455.14</v>
      </c>
      <c r="Q27" s="119">
        <f t="shared" si="8"/>
        <v>217525.14</v>
      </c>
      <c r="R27" s="24">
        <f t="shared" si="9"/>
        <v>8.8495575221238937E-3</v>
      </c>
      <c r="S27" s="120" t="e">
        <f>ROUND(R27*#REF!,0)</f>
        <v>#REF!</v>
      </c>
      <c r="T27" s="121" t="e">
        <f t="shared" si="10"/>
        <v>#REF!</v>
      </c>
      <c r="U27" s="121" t="e">
        <f t="shared" si="11"/>
        <v>#REF!</v>
      </c>
      <c r="V27" s="121" t="e">
        <f t="shared" si="12"/>
        <v>#REF!</v>
      </c>
      <c r="W27" s="122" t="e">
        <f t="shared" si="13"/>
        <v>#REF!</v>
      </c>
      <c r="X27" s="38" t="e">
        <f>W27+'проезд Лизе к бюджету 2018'!L28</f>
        <v>#REF!</v>
      </c>
      <c r="Y27" s="37" t="e">
        <f>#REF!+#REF!</f>
        <v>#REF!</v>
      </c>
      <c r="Z27" s="37" t="e">
        <f t="shared" si="14"/>
        <v>#REF!</v>
      </c>
      <c r="AA27" s="249">
        <v>111380</v>
      </c>
      <c r="AB27" s="242">
        <v>33720</v>
      </c>
      <c r="AC27" s="253">
        <f t="shared" si="15"/>
        <v>145100</v>
      </c>
      <c r="AD27" s="245">
        <f t="shared" si="16"/>
        <v>194915</v>
      </c>
      <c r="AE27" s="326"/>
      <c r="AF27" s="340">
        <v>0</v>
      </c>
      <c r="AG27" s="259"/>
      <c r="AH27" s="274"/>
      <c r="AI27" s="337"/>
      <c r="AJ27" s="330">
        <f t="shared" si="17"/>
        <v>194915</v>
      </c>
      <c r="AK27" s="143">
        <f t="shared" si="18"/>
        <v>83535</v>
      </c>
      <c r="AL27" s="125">
        <f>AF27-'проезд Лизе к бюджету 2018'!B28</f>
        <v>-2</v>
      </c>
      <c r="AM27" s="200">
        <f t="shared" si="27"/>
        <v>83535</v>
      </c>
      <c r="AN27" s="200">
        <f t="shared" si="28"/>
        <v>-33720</v>
      </c>
      <c r="AO27" s="200">
        <f t="shared" si="29"/>
        <v>49815</v>
      </c>
      <c r="AP27" s="311">
        <f t="shared" si="19"/>
        <v>83600</v>
      </c>
      <c r="AQ27" s="311">
        <f t="shared" si="20"/>
        <v>-33720</v>
      </c>
      <c r="AR27" s="312">
        <f t="shared" si="21"/>
        <v>49880</v>
      </c>
      <c r="AS27" s="312">
        <f t="shared" si="30"/>
        <v>49880</v>
      </c>
      <c r="AT27" s="317"/>
      <c r="AU27">
        <v>0</v>
      </c>
      <c r="AW27" s="279">
        <f t="shared" si="22"/>
        <v>194915</v>
      </c>
      <c r="AX27" s="280">
        <f t="shared" si="31"/>
        <v>194915</v>
      </c>
      <c r="AY27" s="285">
        <f t="shared" si="23"/>
        <v>0</v>
      </c>
      <c r="AZ27" s="296">
        <f t="shared" si="24"/>
        <v>0</v>
      </c>
      <c r="BA27" s="348">
        <f>ROUND(AZ27,0)*12</f>
        <v>0</v>
      </c>
      <c r="BB27" s="292">
        <v>1450</v>
      </c>
      <c r="BC27" s="303">
        <f t="shared" si="25"/>
        <v>0</v>
      </c>
      <c r="BD27" s="298">
        <f t="shared" si="26"/>
        <v>0</v>
      </c>
      <c r="BE27" s="271">
        <f t="shared" si="32"/>
        <v>0</v>
      </c>
      <c r="BG27" s="37">
        <f t="shared" si="33"/>
        <v>194915</v>
      </c>
    </row>
    <row r="28" spans="1:59" x14ac:dyDescent="0.3">
      <c r="A28" s="21" t="s">
        <v>18</v>
      </c>
      <c r="B28" s="132">
        <v>341</v>
      </c>
      <c r="C28" s="95"/>
      <c r="D28" s="106"/>
      <c r="E28" s="101">
        <v>54</v>
      </c>
      <c r="F28" s="103">
        <f t="shared" si="0"/>
        <v>54</v>
      </c>
      <c r="G28" s="111"/>
      <c r="H28" s="104">
        <v>10</v>
      </c>
      <c r="I28" s="105">
        <f t="shared" si="1"/>
        <v>10</v>
      </c>
      <c r="J28" s="22">
        <f t="shared" si="2"/>
        <v>0</v>
      </c>
      <c r="K28" s="99">
        <f t="shared" si="3"/>
        <v>11</v>
      </c>
      <c r="L28" s="169">
        <f t="shared" si="4"/>
        <v>1</v>
      </c>
      <c r="M28" s="126">
        <f>IF(H28&gt;K28,K28,H28)</f>
        <v>10</v>
      </c>
      <c r="N28" s="27"/>
      <c r="O28" s="119">
        <f t="shared" si="6"/>
        <v>0</v>
      </c>
      <c r="P28" s="119">
        <f t="shared" si="7"/>
        <v>0</v>
      </c>
      <c r="Q28" s="119">
        <f t="shared" si="8"/>
        <v>0</v>
      </c>
      <c r="R28" s="24">
        <f t="shared" si="9"/>
        <v>0</v>
      </c>
      <c r="S28" s="120" t="e">
        <f>ROUND(R28*#REF!,0)</f>
        <v>#REF!</v>
      </c>
      <c r="T28" s="121" t="e">
        <f t="shared" si="10"/>
        <v>#REF!</v>
      </c>
      <c r="U28" s="121" t="e">
        <f t="shared" si="11"/>
        <v>#REF!</v>
      </c>
      <c r="V28" s="121" t="e">
        <f t="shared" si="12"/>
        <v>#REF!</v>
      </c>
      <c r="W28" s="122" t="e">
        <f t="shared" si="13"/>
        <v>#REF!</v>
      </c>
      <c r="X28" s="38" t="e">
        <f>W28+'проезд Лизе к бюджету 2018'!L29</f>
        <v>#REF!</v>
      </c>
      <c r="Y28" s="37" t="e">
        <f>#REF!+#REF!</f>
        <v>#REF!</v>
      </c>
      <c r="Z28" s="37" t="e">
        <f t="shared" si="14"/>
        <v>#REF!</v>
      </c>
      <c r="AA28" s="249">
        <v>278560</v>
      </c>
      <c r="AB28" s="242">
        <v>84240</v>
      </c>
      <c r="AC28" s="253">
        <f t="shared" si="15"/>
        <v>362800</v>
      </c>
      <c r="AD28" s="245">
        <f t="shared" si="16"/>
        <v>278450</v>
      </c>
      <c r="AE28" s="326">
        <v>4350</v>
      </c>
      <c r="AF28" s="340">
        <v>24</v>
      </c>
      <c r="AG28" s="259">
        <v>17261.2</v>
      </c>
      <c r="AH28" s="274">
        <v>21611.200000000001</v>
      </c>
      <c r="AI28" s="337"/>
      <c r="AJ28" s="330">
        <f t="shared" si="17"/>
        <v>334861.2</v>
      </c>
      <c r="AK28" s="143">
        <f t="shared" si="18"/>
        <v>56301.200000000012</v>
      </c>
      <c r="AL28" s="125">
        <f>AF28-'проезд Лизе к бюджету 2018'!B29</f>
        <v>21</v>
      </c>
      <c r="AM28" s="200">
        <f t="shared" si="27"/>
        <v>56440</v>
      </c>
      <c r="AN28" s="200">
        <f t="shared" si="28"/>
        <v>-84240</v>
      </c>
      <c r="AO28" s="200">
        <f t="shared" si="29"/>
        <v>-27800</v>
      </c>
      <c r="AP28" s="311">
        <f t="shared" si="19"/>
        <v>56500</v>
      </c>
      <c r="AQ28" s="311">
        <f t="shared" si="20"/>
        <v>-84240</v>
      </c>
      <c r="AR28" s="312">
        <f t="shared" si="21"/>
        <v>-27740</v>
      </c>
      <c r="AS28" s="312">
        <f t="shared" si="30"/>
        <v>-27740</v>
      </c>
      <c r="AT28" s="317"/>
      <c r="AU28">
        <v>-138.79999999998836</v>
      </c>
      <c r="AW28" s="279">
        <f t="shared" si="22"/>
        <v>335000</v>
      </c>
      <c r="AX28" s="280">
        <f t="shared" si="31"/>
        <v>278450</v>
      </c>
      <c r="AY28" s="285">
        <f t="shared" si="23"/>
        <v>56550</v>
      </c>
      <c r="AZ28" s="296">
        <f t="shared" si="24"/>
        <v>3.25</v>
      </c>
      <c r="BA28" s="348">
        <f>ROUND(AZ28,0)*12+3</f>
        <v>39</v>
      </c>
      <c r="BB28" s="292">
        <v>1450</v>
      </c>
      <c r="BC28" s="303">
        <f t="shared" si="25"/>
        <v>56550</v>
      </c>
      <c r="BD28" s="298">
        <f t="shared" si="26"/>
        <v>0</v>
      </c>
      <c r="BE28" s="271">
        <f t="shared" si="32"/>
        <v>0</v>
      </c>
      <c r="BG28" s="37">
        <f t="shared" si="33"/>
        <v>335000</v>
      </c>
    </row>
    <row r="29" spans="1:59" x14ac:dyDescent="0.3">
      <c r="A29" s="21" t="s">
        <v>19</v>
      </c>
      <c r="B29" s="132">
        <v>342</v>
      </c>
      <c r="C29" s="95">
        <v>0</v>
      </c>
      <c r="D29" s="106">
        <v>41</v>
      </c>
      <c r="E29" s="101">
        <v>39</v>
      </c>
      <c r="F29" s="103">
        <f t="shared" si="0"/>
        <v>-2</v>
      </c>
      <c r="G29" s="111">
        <v>9</v>
      </c>
      <c r="H29" s="104">
        <v>6</v>
      </c>
      <c r="I29" s="105">
        <f t="shared" si="1"/>
        <v>-3</v>
      </c>
      <c r="J29" s="22">
        <f t="shared" si="2"/>
        <v>9</v>
      </c>
      <c r="K29" s="99">
        <f t="shared" si="3"/>
        <v>8</v>
      </c>
      <c r="L29" s="169">
        <f t="shared" si="4"/>
        <v>2</v>
      </c>
      <c r="M29" s="126">
        <f>IF(H29&gt;K29,K29,H29)</f>
        <v>6</v>
      </c>
      <c r="N29" s="25">
        <v>9</v>
      </c>
      <c r="O29" s="119">
        <f t="shared" si="6"/>
        <v>250605</v>
      </c>
      <c r="P29" s="119">
        <f t="shared" si="7"/>
        <v>75682.709999999992</v>
      </c>
      <c r="Q29" s="119">
        <f t="shared" si="8"/>
        <v>326287.70999999996</v>
      </c>
      <c r="R29" s="24">
        <f t="shared" si="9"/>
        <v>1.3274336283185841E-2</v>
      </c>
      <c r="S29" s="120" t="e">
        <f>ROUND(R29*#REF!,0)</f>
        <v>#REF!</v>
      </c>
      <c r="T29" s="121" t="e">
        <f t="shared" si="10"/>
        <v>#REF!</v>
      </c>
      <c r="U29" s="121" t="e">
        <f t="shared" si="11"/>
        <v>#REF!</v>
      </c>
      <c r="V29" s="121" t="e">
        <f t="shared" si="12"/>
        <v>#REF!</v>
      </c>
      <c r="W29" s="122" t="e">
        <f t="shared" si="13"/>
        <v>#REF!</v>
      </c>
      <c r="X29" s="38" t="e">
        <f>W29+'проезд Лизе к бюджету 2018'!L30</f>
        <v>#REF!</v>
      </c>
      <c r="Y29" s="37" t="e">
        <f>#REF!+#REF!</f>
        <v>#REF!</v>
      </c>
      <c r="Z29" s="37" t="e">
        <f t="shared" si="14"/>
        <v>#REF!</v>
      </c>
      <c r="AA29" s="249">
        <v>139225</v>
      </c>
      <c r="AB29" s="242">
        <v>42175</v>
      </c>
      <c r="AC29" s="253">
        <f t="shared" si="15"/>
        <v>181400</v>
      </c>
      <c r="AD29" s="245">
        <f t="shared" si="16"/>
        <v>167070</v>
      </c>
      <c r="AE29" s="326"/>
      <c r="AF29" s="340">
        <v>0</v>
      </c>
      <c r="AG29" s="259"/>
      <c r="AH29" s="274"/>
      <c r="AI29" s="337"/>
      <c r="AJ29" s="330">
        <f t="shared" si="17"/>
        <v>167070</v>
      </c>
      <c r="AK29" s="143">
        <f t="shared" si="18"/>
        <v>27845</v>
      </c>
      <c r="AL29" s="125">
        <f>AF29-'проезд Лизе к бюджету 2018'!B30</f>
        <v>0</v>
      </c>
      <c r="AM29" s="200">
        <f t="shared" si="27"/>
        <v>27845</v>
      </c>
      <c r="AN29" s="200">
        <f t="shared" si="28"/>
        <v>-42175</v>
      </c>
      <c r="AO29" s="200">
        <f t="shared" si="29"/>
        <v>-14330</v>
      </c>
      <c r="AP29" s="311">
        <f t="shared" si="19"/>
        <v>27900.000000000004</v>
      </c>
      <c r="AQ29" s="311">
        <f t="shared" si="20"/>
        <v>-42175</v>
      </c>
      <c r="AR29" s="312">
        <f t="shared" si="21"/>
        <v>-14274.999999999996</v>
      </c>
      <c r="AS29" s="312">
        <f t="shared" si="30"/>
        <v>-14274.999999999996</v>
      </c>
      <c r="AT29" s="317"/>
      <c r="AU29">
        <v>0</v>
      </c>
      <c r="AW29" s="279">
        <f t="shared" si="22"/>
        <v>167070</v>
      </c>
      <c r="AX29" s="280">
        <f t="shared" si="31"/>
        <v>167070</v>
      </c>
      <c r="AY29" s="285">
        <f t="shared" si="23"/>
        <v>0</v>
      </c>
      <c r="AZ29" s="296">
        <f t="shared" si="24"/>
        <v>0</v>
      </c>
      <c r="BA29" s="348">
        <f>ROUND(AZ29,0)*12</f>
        <v>0</v>
      </c>
      <c r="BB29" s="292">
        <v>1450</v>
      </c>
      <c r="BC29" s="303">
        <f t="shared" si="25"/>
        <v>0</v>
      </c>
      <c r="BD29" s="298">
        <f t="shared" si="26"/>
        <v>0</v>
      </c>
      <c r="BE29" s="271">
        <f t="shared" si="32"/>
        <v>0</v>
      </c>
      <c r="BG29" s="37">
        <f t="shared" si="33"/>
        <v>167070</v>
      </c>
    </row>
    <row r="30" spans="1:59" x14ac:dyDescent="0.3">
      <c r="A30" s="21" t="s">
        <v>41</v>
      </c>
      <c r="B30" s="132">
        <v>343</v>
      </c>
      <c r="C30" s="95">
        <v>1</v>
      </c>
      <c r="D30" s="106">
        <v>74</v>
      </c>
      <c r="E30" s="101">
        <v>59</v>
      </c>
      <c r="F30" s="103">
        <f t="shared" si="0"/>
        <v>-15</v>
      </c>
      <c r="G30" s="111">
        <v>4</v>
      </c>
      <c r="H30" s="104">
        <v>14</v>
      </c>
      <c r="I30" s="105">
        <f t="shared" si="1"/>
        <v>10</v>
      </c>
      <c r="J30" s="22">
        <f t="shared" si="2"/>
        <v>15</v>
      </c>
      <c r="K30" s="99">
        <f t="shared" si="3"/>
        <v>12</v>
      </c>
      <c r="L30" s="169">
        <f t="shared" si="4"/>
        <v>-2</v>
      </c>
      <c r="M30" s="178">
        <f>IF(H30&gt;K30,K30,H30)+1</f>
        <v>13</v>
      </c>
      <c r="N30" s="25">
        <v>4</v>
      </c>
      <c r="O30" s="119">
        <f t="shared" si="6"/>
        <v>111380</v>
      </c>
      <c r="P30" s="119">
        <f t="shared" si="7"/>
        <v>33636.76</v>
      </c>
      <c r="Q30" s="119">
        <f t="shared" si="8"/>
        <v>145016.76</v>
      </c>
      <c r="R30" s="24">
        <f t="shared" si="9"/>
        <v>5.8997050147492625E-3</v>
      </c>
      <c r="S30" s="120" t="e">
        <f>ROUND(R30*#REF!,0)</f>
        <v>#REF!</v>
      </c>
      <c r="T30" s="121" t="e">
        <f t="shared" si="10"/>
        <v>#REF!</v>
      </c>
      <c r="U30" s="121" t="e">
        <f t="shared" si="11"/>
        <v>#REF!</v>
      </c>
      <c r="V30" s="121" t="e">
        <f t="shared" si="12"/>
        <v>#REF!</v>
      </c>
      <c r="W30" s="122" t="e">
        <f t="shared" si="13"/>
        <v>#REF!</v>
      </c>
      <c r="X30" s="38" t="e">
        <f>W30+'проезд Лизе к бюджету 2018'!L31</f>
        <v>#REF!</v>
      </c>
      <c r="Y30" s="37" t="e">
        <f>#REF!+#REF!</f>
        <v>#REF!</v>
      </c>
      <c r="Z30" s="37" t="e">
        <f t="shared" si="14"/>
        <v>#REF!</v>
      </c>
      <c r="AA30" s="249">
        <v>222760</v>
      </c>
      <c r="AB30" s="242">
        <v>67340</v>
      </c>
      <c r="AC30" s="253">
        <f t="shared" si="15"/>
        <v>290100</v>
      </c>
      <c r="AD30" s="245">
        <f t="shared" si="16"/>
        <v>361985</v>
      </c>
      <c r="AE30" s="326"/>
      <c r="AF30" s="340">
        <v>0</v>
      </c>
      <c r="AG30" s="259"/>
      <c r="AH30" s="274"/>
      <c r="AI30" s="337"/>
      <c r="AJ30" s="330">
        <f t="shared" si="17"/>
        <v>361985</v>
      </c>
      <c r="AK30" s="143">
        <f t="shared" si="18"/>
        <v>139225</v>
      </c>
      <c r="AL30" s="125">
        <f>AF30-'проезд Лизе к бюджету 2018'!B31</f>
        <v>0</v>
      </c>
      <c r="AM30" s="200">
        <f t="shared" si="27"/>
        <v>139225</v>
      </c>
      <c r="AN30" s="200">
        <f t="shared" si="28"/>
        <v>-67340</v>
      </c>
      <c r="AO30" s="200">
        <f t="shared" si="29"/>
        <v>71885</v>
      </c>
      <c r="AP30" s="311">
        <f t="shared" si="19"/>
        <v>139299.99999999997</v>
      </c>
      <c r="AQ30" s="311">
        <f t="shared" si="20"/>
        <v>-67340</v>
      </c>
      <c r="AR30" s="312">
        <f t="shared" si="21"/>
        <v>71959.999999999971</v>
      </c>
      <c r="AS30" s="312">
        <f t="shared" si="30"/>
        <v>71959.999999999971</v>
      </c>
      <c r="AT30" s="317"/>
      <c r="AU30">
        <v>0</v>
      </c>
      <c r="AW30" s="279">
        <f t="shared" si="22"/>
        <v>361985</v>
      </c>
      <c r="AX30" s="280">
        <f t="shared" si="31"/>
        <v>361985</v>
      </c>
      <c r="AY30" s="285">
        <f t="shared" si="23"/>
        <v>0</v>
      </c>
      <c r="AZ30" s="296">
        <f t="shared" si="24"/>
        <v>0</v>
      </c>
      <c r="BA30" s="348">
        <f>ROUND(AZ30,0)*12</f>
        <v>0</v>
      </c>
      <c r="BB30" s="292">
        <v>1450</v>
      </c>
      <c r="BC30" s="303">
        <f t="shared" si="25"/>
        <v>0</v>
      </c>
      <c r="BD30" s="298">
        <f t="shared" si="26"/>
        <v>0</v>
      </c>
      <c r="BE30" s="271">
        <f t="shared" si="32"/>
        <v>0</v>
      </c>
      <c r="BG30" s="37">
        <f t="shared" si="33"/>
        <v>361985</v>
      </c>
    </row>
    <row r="31" spans="1:59" x14ac:dyDescent="0.3">
      <c r="A31" s="21" t="s">
        <v>60</v>
      </c>
      <c r="B31" s="132">
        <v>344</v>
      </c>
      <c r="C31" s="95">
        <v>4</v>
      </c>
      <c r="D31" s="106">
        <v>109</v>
      </c>
      <c r="E31" s="101">
        <v>137</v>
      </c>
      <c r="F31" s="107">
        <f t="shared" si="0"/>
        <v>28</v>
      </c>
      <c r="G31" s="111">
        <v>21</v>
      </c>
      <c r="H31" s="104">
        <v>13</v>
      </c>
      <c r="I31" s="108">
        <f t="shared" si="1"/>
        <v>-8</v>
      </c>
      <c r="J31" s="22">
        <f t="shared" si="2"/>
        <v>22</v>
      </c>
      <c r="K31" s="99">
        <f t="shared" si="3"/>
        <v>28</v>
      </c>
      <c r="L31" s="169">
        <f t="shared" si="4"/>
        <v>15</v>
      </c>
      <c r="M31" s="126">
        <f t="shared" ref="M31:M37" si="34">IF(H31&gt;K31,K31,H31)</f>
        <v>13</v>
      </c>
      <c r="N31" s="28">
        <v>21</v>
      </c>
      <c r="O31" s="119">
        <f t="shared" si="6"/>
        <v>584745</v>
      </c>
      <c r="P31" s="119">
        <f t="shared" si="7"/>
        <v>176592.99</v>
      </c>
      <c r="Q31" s="119">
        <f t="shared" si="8"/>
        <v>761337.99</v>
      </c>
      <c r="R31" s="24">
        <f t="shared" si="9"/>
        <v>3.0973451327433628E-2</v>
      </c>
      <c r="S31" s="120" t="e">
        <f>ROUND(R31*#REF!,0)-1</f>
        <v>#REF!</v>
      </c>
      <c r="T31" s="121" t="e">
        <f t="shared" si="10"/>
        <v>#REF!</v>
      </c>
      <c r="U31" s="121" t="e">
        <f t="shared" si="11"/>
        <v>#REF!</v>
      </c>
      <c r="V31" s="121" t="e">
        <f t="shared" si="12"/>
        <v>#REF!</v>
      </c>
      <c r="W31" s="122" t="e">
        <f t="shared" si="13"/>
        <v>#REF!</v>
      </c>
      <c r="X31" s="38" t="e">
        <f>W31+'проезд Лизе к бюджету 2018'!L32</f>
        <v>#REF!</v>
      </c>
      <c r="Y31" s="37" t="e">
        <f>#REF!+#REF!</f>
        <v>#REF!</v>
      </c>
      <c r="Z31" s="37" t="e">
        <f t="shared" si="14"/>
        <v>#REF!</v>
      </c>
      <c r="AA31" s="249">
        <v>352850</v>
      </c>
      <c r="AB31" s="242">
        <v>106650</v>
      </c>
      <c r="AC31" s="253">
        <f t="shared" si="15"/>
        <v>459500</v>
      </c>
      <c r="AD31" s="245">
        <f t="shared" si="16"/>
        <v>361985</v>
      </c>
      <c r="AE31" s="326">
        <v>5800</v>
      </c>
      <c r="AF31" s="340">
        <v>32</v>
      </c>
      <c r="AG31" s="259">
        <v>23113.3</v>
      </c>
      <c r="AH31" s="274">
        <v>28913.3</v>
      </c>
      <c r="AI31" s="337"/>
      <c r="AJ31" s="330">
        <f t="shared" si="17"/>
        <v>437298.3</v>
      </c>
      <c r="AK31" s="143">
        <f t="shared" si="18"/>
        <v>84448.299999999988</v>
      </c>
      <c r="AL31" s="125">
        <f>AF31-'проезд Лизе к бюджету 2018'!B32</f>
        <v>30</v>
      </c>
      <c r="AM31" s="200">
        <f t="shared" si="27"/>
        <v>84535</v>
      </c>
      <c r="AN31" s="200">
        <f t="shared" si="28"/>
        <v>-106650</v>
      </c>
      <c r="AO31" s="200">
        <f t="shared" si="29"/>
        <v>-22115</v>
      </c>
      <c r="AP31" s="311">
        <f t="shared" si="19"/>
        <v>84600</v>
      </c>
      <c r="AQ31" s="311">
        <f t="shared" si="20"/>
        <v>-106650</v>
      </c>
      <c r="AR31" s="312">
        <f t="shared" si="21"/>
        <v>-22050</v>
      </c>
      <c r="AS31" s="312">
        <f t="shared" si="30"/>
        <v>-22050</v>
      </c>
      <c r="AT31" s="317"/>
      <c r="AU31">
        <v>-86.700000000011642</v>
      </c>
      <c r="AW31" s="279">
        <f t="shared" si="22"/>
        <v>437385</v>
      </c>
      <c r="AX31" s="280">
        <f t="shared" si="31"/>
        <v>361985</v>
      </c>
      <c r="AY31" s="285">
        <f t="shared" si="23"/>
        <v>75400</v>
      </c>
      <c r="AZ31" s="296">
        <f t="shared" si="24"/>
        <v>4.333333333333333</v>
      </c>
      <c r="BA31" s="348">
        <f>ROUND(AZ31,0)*12+4</f>
        <v>52</v>
      </c>
      <c r="BB31" s="292">
        <v>1450</v>
      </c>
      <c r="BC31" s="303">
        <f t="shared" si="25"/>
        <v>75400</v>
      </c>
      <c r="BD31" s="298">
        <f t="shared" si="26"/>
        <v>0</v>
      </c>
      <c r="BE31" s="271">
        <f t="shared" si="32"/>
        <v>0</v>
      </c>
      <c r="BG31" s="37">
        <f t="shared" si="33"/>
        <v>437385</v>
      </c>
    </row>
    <row r="32" spans="1:59" x14ac:dyDescent="0.3">
      <c r="A32" s="21" t="s">
        <v>20</v>
      </c>
      <c r="B32" s="132">
        <v>345</v>
      </c>
      <c r="C32" s="95">
        <v>2</v>
      </c>
      <c r="D32" s="106">
        <v>56</v>
      </c>
      <c r="E32" s="101">
        <v>46</v>
      </c>
      <c r="F32" s="103">
        <f t="shared" si="0"/>
        <v>-10</v>
      </c>
      <c r="G32" s="111">
        <v>12</v>
      </c>
      <c r="H32" s="104">
        <v>7</v>
      </c>
      <c r="I32" s="105">
        <f t="shared" si="1"/>
        <v>-5</v>
      </c>
      <c r="J32" s="22">
        <f t="shared" si="2"/>
        <v>12</v>
      </c>
      <c r="K32" s="99">
        <f t="shared" si="3"/>
        <v>10</v>
      </c>
      <c r="L32" s="169">
        <f t="shared" si="4"/>
        <v>3</v>
      </c>
      <c r="M32" s="126">
        <f t="shared" si="34"/>
        <v>7</v>
      </c>
      <c r="N32" s="25">
        <v>12</v>
      </c>
      <c r="O32" s="119">
        <f t="shared" si="6"/>
        <v>334140</v>
      </c>
      <c r="P32" s="119">
        <f t="shared" si="7"/>
        <v>100910.28</v>
      </c>
      <c r="Q32" s="119">
        <f t="shared" si="8"/>
        <v>435050.28</v>
      </c>
      <c r="R32" s="24">
        <f t="shared" si="9"/>
        <v>1.7699115044247787E-2</v>
      </c>
      <c r="S32" s="120" t="e">
        <f>ROUND(R32*#REF!,0)</f>
        <v>#REF!</v>
      </c>
      <c r="T32" s="121" t="e">
        <f t="shared" si="10"/>
        <v>#REF!</v>
      </c>
      <c r="U32" s="121" t="e">
        <f t="shared" si="11"/>
        <v>#REF!</v>
      </c>
      <c r="V32" s="121" t="e">
        <f t="shared" si="12"/>
        <v>#REF!</v>
      </c>
      <c r="W32" s="122" t="e">
        <f t="shared" si="13"/>
        <v>#REF!</v>
      </c>
      <c r="X32" s="38" t="e">
        <f>W32+'проезд Лизе к бюджету 2018'!L33</f>
        <v>#REF!</v>
      </c>
      <c r="Y32" s="37" t="e">
        <f>#REF!+#REF!</f>
        <v>#REF!</v>
      </c>
      <c r="Z32" s="37" t="e">
        <f t="shared" si="14"/>
        <v>#REF!</v>
      </c>
      <c r="AA32" s="249">
        <v>157825</v>
      </c>
      <c r="AB32" s="242">
        <v>47875</v>
      </c>
      <c r="AC32" s="253">
        <f t="shared" si="15"/>
        <v>205700</v>
      </c>
      <c r="AD32" s="245">
        <f t="shared" si="16"/>
        <v>194915</v>
      </c>
      <c r="AE32" s="326">
        <v>1450</v>
      </c>
      <c r="AF32" s="340">
        <v>8</v>
      </c>
      <c r="AG32" s="259">
        <v>5642.9</v>
      </c>
      <c r="AH32" s="274">
        <v>7092.9</v>
      </c>
      <c r="AI32" s="337"/>
      <c r="AJ32" s="330">
        <f t="shared" si="17"/>
        <v>213607.9</v>
      </c>
      <c r="AK32" s="143">
        <f t="shared" si="18"/>
        <v>55782.899999999994</v>
      </c>
      <c r="AL32" s="125">
        <f>AF32-'проезд Лизе к бюджету 2018'!B33</f>
        <v>7</v>
      </c>
      <c r="AM32" s="200">
        <f t="shared" si="27"/>
        <v>55940</v>
      </c>
      <c r="AN32" s="200">
        <f t="shared" si="28"/>
        <v>-47875</v>
      </c>
      <c r="AO32" s="200">
        <f t="shared" si="29"/>
        <v>8065</v>
      </c>
      <c r="AP32" s="311">
        <f t="shared" si="19"/>
        <v>56000</v>
      </c>
      <c r="AQ32" s="311">
        <f t="shared" si="20"/>
        <v>-47875</v>
      </c>
      <c r="AR32" s="312">
        <f t="shared" si="21"/>
        <v>8125</v>
      </c>
      <c r="AS32" s="312">
        <f t="shared" si="30"/>
        <v>8125</v>
      </c>
      <c r="AT32" s="317"/>
      <c r="AU32">
        <v>-157.10000000000582</v>
      </c>
      <c r="AW32" s="279">
        <f t="shared" si="22"/>
        <v>213765</v>
      </c>
      <c r="AX32" s="280">
        <f t="shared" si="31"/>
        <v>194915</v>
      </c>
      <c r="AY32" s="285">
        <f t="shared" si="23"/>
        <v>18850</v>
      </c>
      <c r="AZ32" s="296">
        <f t="shared" si="24"/>
        <v>1.0833333333333333</v>
      </c>
      <c r="BA32" s="348">
        <f>ROUND(AZ32,0)*12+1</f>
        <v>13</v>
      </c>
      <c r="BB32" s="292">
        <v>1450</v>
      </c>
      <c r="BC32" s="303">
        <f t="shared" si="25"/>
        <v>18850</v>
      </c>
      <c r="BD32" s="298">
        <f t="shared" si="26"/>
        <v>0</v>
      </c>
      <c r="BE32" s="271">
        <f t="shared" si="32"/>
        <v>0</v>
      </c>
      <c r="BG32" s="37">
        <f t="shared" si="33"/>
        <v>213765</v>
      </c>
    </row>
    <row r="33" spans="1:59" x14ac:dyDescent="0.3">
      <c r="A33" s="29" t="s">
        <v>7</v>
      </c>
      <c r="B33" s="132">
        <v>346</v>
      </c>
      <c r="C33" s="95">
        <v>1</v>
      </c>
      <c r="D33" s="106">
        <v>118</v>
      </c>
      <c r="E33" s="101">
        <v>83</v>
      </c>
      <c r="F33" s="103">
        <f t="shared" si="0"/>
        <v>-35</v>
      </c>
      <c r="G33" s="111">
        <v>14</v>
      </c>
      <c r="H33" s="104">
        <v>12</v>
      </c>
      <c r="I33" s="105">
        <f t="shared" si="1"/>
        <v>-2</v>
      </c>
      <c r="J33" s="22">
        <f t="shared" si="2"/>
        <v>24</v>
      </c>
      <c r="K33" s="99">
        <f t="shared" si="3"/>
        <v>17</v>
      </c>
      <c r="L33" s="169">
        <f t="shared" si="4"/>
        <v>5</v>
      </c>
      <c r="M33" s="126">
        <f t="shared" si="34"/>
        <v>12</v>
      </c>
      <c r="N33" s="25">
        <v>14</v>
      </c>
      <c r="O33" s="119">
        <f t="shared" si="6"/>
        <v>389830</v>
      </c>
      <c r="P33" s="119">
        <f t="shared" si="7"/>
        <v>117728.66</v>
      </c>
      <c r="Q33" s="119">
        <f t="shared" si="8"/>
        <v>507558.66000000003</v>
      </c>
      <c r="R33" s="24">
        <f t="shared" si="9"/>
        <v>2.0648967551622419E-2</v>
      </c>
      <c r="S33" s="120" t="e">
        <f>ROUND(R33*#REF!,0)</f>
        <v>#REF!</v>
      </c>
      <c r="T33" s="121" t="e">
        <f t="shared" si="10"/>
        <v>#REF!</v>
      </c>
      <c r="U33" s="121" t="e">
        <f t="shared" si="11"/>
        <v>#REF!</v>
      </c>
      <c r="V33" s="121" t="e">
        <f t="shared" si="12"/>
        <v>#REF!</v>
      </c>
      <c r="W33" s="122" t="e">
        <f t="shared" si="13"/>
        <v>#REF!</v>
      </c>
      <c r="X33" s="38" t="e">
        <f>W33+'проезд Лизе к бюджету 2018'!L34</f>
        <v>#REF!</v>
      </c>
      <c r="Y33" s="37" t="e">
        <f>#REF!+#REF!</f>
        <v>#REF!</v>
      </c>
      <c r="Z33" s="37" t="e">
        <f t="shared" si="14"/>
        <v>#REF!</v>
      </c>
      <c r="AA33" s="249">
        <v>287805</v>
      </c>
      <c r="AB33" s="242">
        <v>87095</v>
      </c>
      <c r="AC33" s="253">
        <f t="shared" si="15"/>
        <v>374900</v>
      </c>
      <c r="AD33" s="245">
        <f t="shared" si="16"/>
        <v>334140</v>
      </c>
      <c r="AE33" s="326">
        <v>1450</v>
      </c>
      <c r="AF33" s="340">
        <v>9</v>
      </c>
      <c r="AG33" s="259">
        <v>4350</v>
      </c>
      <c r="AH33" s="274">
        <v>5800</v>
      </c>
      <c r="AI33" s="337"/>
      <c r="AJ33" s="330">
        <f t="shared" si="17"/>
        <v>352990</v>
      </c>
      <c r="AK33" s="143">
        <f t="shared" si="18"/>
        <v>65185</v>
      </c>
      <c r="AL33" s="125">
        <f>AF33-'проезд Лизе к бюджету 2018'!B34</f>
        <v>8</v>
      </c>
      <c r="AM33" s="200">
        <f t="shared" si="27"/>
        <v>65185</v>
      </c>
      <c r="AN33" s="200">
        <f t="shared" si="28"/>
        <v>-87095</v>
      </c>
      <c r="AO33" s="200">
        <f t="shared" si="29"/>
        <v>-21910</v>
      </c>
      <c r="AP33" s="311">
        <f t="shared" si="19"/>
        <v>65199.999999999985</v>
      </c>
      <c r="AQ33" s="311">
        <f t="shared" si="20"/>
        <v>-87095</v>
      </c>
      <c r="AR33" s="312">
        <f t="shared" si="21"/>
        <v>-21895.000000000015</v>
      </c>
      <c r="AS33" s="312">
        <f t="shared" si="30"/>
        <v>-21895.000000000015</v>
      </c>
      <c r="AT33" s="317"/>
      <c r="AU33">
        <v>0</v>
      </c>
      <c r="AW33" s="279">
        <f t="shared" si="22"/>
        <v>352990</v>
      </c>
      <c r="AX33" s="280">
        <f t="shared" si="31"/>
        <v>334140</v>
      </c>
      <c r="AY33" s="285">
        <f t="shared" si="23"/>
        <v>18850</v>
      </c>
      <c r="AZ33" s="296">
        <f t="shared" si="24"/>
        <v>1.0833333333333333</v>
      </c>
      <c r="BA33" s="348">
        <f>ROUND(AZ33,0)*12+1</f>
        <v>13</v>
      </c>
      <c r="BB33" s="292">
        <v>1450</v>
      </c>
      <c r="BC33" s="303">
        <f t="shared" si="25"/>
        <v>18850</v>
      </c>
      <c r="BD33" s="298">
        <f t="shared" si="26"/>
        <v>0</v>
      </c>
      <c r="BE33" s="271">
        <f t="shared" si="32"/>
        <v>0</v>
      </c>
      <c r="BG33" s="37">
        <f t="shared" si="33"/>
        <v>352990</v>
      </c>
    </row>
    <row r="34" spans="1:59" x14ac:dyDescent="0.3">
      <c r="A34" s="21" t="s">
        <v>21</v>
      </c>
      <c r="B34" s="132">
        <v>347</v>
      </c>
      <c r="C34" s="95">
        <v>0</v>
      </c>
      <c r="D34" s="106">
        <v>71</v>
      </c>
      <c r="E34" s="101">
        <v>71</v>
      </c>
      <c r="F34" s="103">
        <f t="shared" si="0"/>
        <v>0</v>
      </c>
      <c r="G34" s="111">
        <v>14</v>
      </c>
      <c r="H34" s="104">
        <v>14</v>
      </c>
      <c r="I34" s="105">
        <f t="shared" si="1"/>
        <v>0</v>
      </c>
      <c r="J34" s="22">
        <f t="shared" si="2"/>
        <v>15</v>
      </c>
      <c r="K34" s="99">
        <f t="shared" si="3"/>
        <v>15</v>
      </c>
      <c r="L34" s="169">
        <f t="shared" si="4"/>
        <v>1</v>
      </c>
      <c r="M34" s="126">
        <f t="shared" si="34"/>
        <v>14</v>
      </c>
      <c r="N34" s="27">
        <v>14</v>
      </c>
      <c r="O34" s="119">
        <f t="shared" si="6"/>
        <v>389830</v>
      </c>
      <c r="P34" s="119">
        <f t="shared" si="7"/>
        <v>117728.66</v>
      </c>
      <c r="Q34" s="119">
        <f t="shared" si="8"/>
        <v>507558.66000000003</v>
      </c>
      <c r="R34" s="24">
        <f t="shared" si="9"/>
        <v>2.0648967551622419E-2</v>
      </c>
      <c r="S34" s="120" t="e">
        <f>ROUND(R34*#REF!,0)</f>
        <v>#REF!</v>
      </c>
      <c r="T34" s="121" t="e">
        <f t="shared" si="10"/>
        <v>#REF!</v>
      </c>
      <c r="U34" s="121" t="e">
        <f t="shared" si="11"/>
        <v>#REF!</v>
      </c>
      <c r="V34" s="121" t="e">
        <f t="shared" si="12"/>
        <v>#REF!</v>
      </c>
      <c r="W34" s="122" t="e">
        <f t="shared" si="13"/>
        <v>#REF!</v>
      </c>
      <c r="X34" s="38" t="e">
        <f>W34+'проезд Лизе к бюджету 2018'!L35</f>
        <v>#REF!</v>
      </c>
      <c r="Y34" s="37" t="e">
        <f>#REF!+#REF!</f>
        <v>#REF!</v>
      </c>
      <c r="Z34" s="37" t="e">
        <f t="shared" si="14"/>
        <v>#REF!</v>
      </c>
      <c r="AA34" s="249">
        <v>222760</v>
      </c>
      <c r="AB34" s="242">
        <v>67340</v>
      </c>
      <c r="AC34" s="253">
        <f t="shared" si="15"/>
        <v>290100</v>
      </c>
      <c r="AD34" s="245">
        <f t="shared" si="16"/>
        <v>389830</v>
      </c>
      <c r="AE34" s="326"/>
      <c r="AF34" s="340">
        <v>0</v>
      </c>
      <c r="AG34" s="259"/>
      <c r="AH34" s="274"/>
      <c r="AI34" s="337"/>
      <c r="AJ34" s="330">
        <f t="shared" si="17"/>
        <v>389830</v>
      </c>
      <c r="AK34" s="143">
        <f t="shared" si="18"/>
        <v>167070</v>
      </c>
      <c r="AL34" s="125">
        <f>AF34-'проезд Лизе к бюджету 2018'!B35</f>
        <v>-1</v>
      </c>
      <c r="AM34" s="200">
        <f t="shared" si="27"/>
        <v>167070</v>
      </c>
      <c r="AN34" s="200">
        <f t="shared" si="28"/>
        <v>-67340</v>
      </c>
      <c r="AO34" s="200">
        <f t="shared" si="29"/>
        <v>99730</v>
      </c>
      <c r="AP34" s="311">
        <f t="shared" si="19"/>
        <v>167100</v>
      </c>
      <c r="AQ34" s="311">
        <f t="shared" si="20"/>
        <v>-67340</v>
      </c>
      <c r="AR34" s="312">
        <f t="shared" si="21"/>
        <v>99760</v>
      </c>
      <c r="AS34" s="312">
        <f t="shared" si="30"/>
        <v>99760</v>
      </c>
      <c r="AT34" s="317"/>
      <c r="AU34">
        <v>0</v>
      </c>
      <c r="AW34" s="279">
        <f t="shared" si="22"/>
        <v>389830</v>
      </c>
      <c r="AX34" s="280">
        <f t="shared" si="31"/>
        <v>389830</v>
      </c>
      <c r="AY34" s="285">
        <f t="shared" si="23"/>
        <v>0</v>
      </c>
      <c r="AZ34" s="296">
        <f t="shared" si="24"/>
        <v>0</v>
      </c>
      <c r="BA34" s="348">
        <f>ROUND(AZ34,0)*12</f>
        <v>0</v>
      </c>
      <c r="BB34" s="292">
        <v>1450</v>
      </c>
      <c r="BC34" s="303">
        <f t="shared" si="25"/>
        <v>0</v>
      </c>
      <c r="BD34" s="298">
        <f t="shared" si="26"/>
        <v>0</v>
      </c>
      <c r="BE34" s="271">
        <f t="shared" si="32"/>
        <v>0</v>
      </c>
      <c r="BG34" s="37">
        <f t="shared" si="33"/>
        <v>389830</v>
      </c>
    </row>
    <row r="35" spans="1:59" x14ac:dyDescent="0.3">
      <c r="A35" s="21" t="s">
        <v>22</v>
      </c>
      <c r="B35" s="132">
        <v>348</v>
      </c>
      <c r="C35" s="95">
        <v>3</v>
      </c>
      <c r="D35" s="116">
        <v>61</v>
      </c>
      <c r="E35" s="117">
        <v>49</v>
      </c>
      <c r="F35" s="103">
        <f t="shared" si="0"/>
        <v>-12</v>
      </c>
      <c r="G35" s="113">
        <v>3</v>
      </c>
      <c r="H35" s="110">
        <v>7</v>
      </c>
      <c r="I35" s="105">
        <f t="shared" si="1"/>
        <v>4</v>
      </c>
      <c r="J35" s="22">
        <f t="shared" si="2"/>
        <v>13</v>
      </c>
      <c r="K35" s="99">
        <f t="shared" si="3"/>
        <v>10</v>
      </c>
      <c r="L35" s="169">
        <f t="shared" si="4"/>
        <v>3</v>
      </c>
      <c r="M35" s="126">
        <f t="shared" si="34"/>
        <v>7</v>
      </c>
      <c r="N35" s="27">
        <v>3</v>
      </c>
      <c r="O35" s="119">
        <f t="shared" si="6"/>
        <v>83535</v>
      </c>
      <c r="P35" s="119">
        <f t="shared" si="7"/>
        <v>25227.57</v>
      </c>
      <c r="Q35" s="119">
        <f t="shared" si="8"/>
        <v>108762.57</v>
      </c>
      <c r="R35" s="24">
        <f t="shared" si="9"/>
        <v>4.4247787610619468E-3</v>
      </c>
      <c r="S35" s="120" t="e">
        <f>ROUND(R35*#REF!,0)</f>
        <v>#REF!</v>
      </c>
      <c r="T35" s="121" t="e">
        <f t="shared" si="10"/>
        <v>#REF!</v>
      </c>
      <c r="U35" s="121" t="e">
        <f t="shared" si="11"/>
        <v>#REF!</v>
      </c>
      <c r="V35" s="121" t="e">
        <f t="shared" si="12"/>
        <v>#REF!</v>
      </c>
      <c r="W35" s="122" t="e">
        <f t="shared" si="13"/>
        <v>#REF!</v>
      </c>
      <c r="X35" s="38" t="e">
        <f>W35+'проезд Лизе к бюджету 2018'!L36</f>
        <v>#REF!</v>
      </c>
      <c r="Y35" s="37" t="e">
        <f>#REF!+#REF!</f>
        <v>#REF!</v>
      </c>
      <c r="Z35" s="37" t="e">
        <f t="shared" si="14"/>
        <v>#REF!</v>
      </c>
      <c r="AA35" s="249">
        <v>195025</v>
      </c>
      <c r="AB35" s="242">
        <v>59075</v>
      </c>
      <c r="AC35" s="253">
        <f t="shared" si="15"/>
        <v>254100</v>
      </c>
      <c r="AD35" s="245">
        <f t="shared" si="16"/>
        <v>194915</v>
      </c>
      <c r="AE35" s="326">
        <v>2900</v>
      </c>
      <c r="AF35" s="340">
        <v>10</v>
      </c>
      <c r="AG35" s="259">
        <v>14373.7</v>
      </c>
      <c r="AH35" s="274">
        <v>17273.7</v>
      </c>
      <c r="AI35" s="337"/>
      <c r="AJ35" s="330">
        <f t="shared" si="17"/>
        <v>226688.7</v>
      </c>
      <c r="AK35" s="143">
        <f t="shared" si="18"/>
        <v>31663.700000000012</v>
      </c>
      <c r="AL35" s="125">
        <f>AF35-'проезд Лизе к бюджету 2018'!B36</f>
        <v>7</v>
      </c>
      <c r="AM35" s="200">
        <f t="shared" si="27"/>
        <v>31790</v>
      </c>
      <c r="AN35" s="200">
        <f t="shared" si="28"/>
        <v>-59075</v>
      </c>
      <c r="AO35" s="200">
        <f t="shared" si="29"/>
        <v>-27285</v>
      </c>
      <c r="AP35" s="311">
        <f t="shared" si="19"/>
        <v>31800</v>
      </c>
      <c r="AQ35" s="311">
        <f t="shared" si="20"/>
        <v>-59075</v>
      </c>
      <c r="AR35" s="312">
        <f t="shared" si="21"/>
        <v>-27275</v>
      </c>
      <c r="AS35" s="312">
        <f t="shared" si="30"/>
        <v>-27275</v>
      </c>
      <c r="AT35" s="317"/>
      <c r="AU35">
        <v>-126.29999999998836</v>
      </c>
      <c r="AW35" s="279">
        <f t="shared" si="22"/>
        <v>226815</v>
      </c>
      <c r="AX35" s="280">
        <f t="shared" si="31"/>
        <v>194915</v>
      </c>
      <c r="AY35" s="285">
        <f t="shared" si="23"/>
        <v>31900</v>
      </c>
      <c r="AZ35" s="296">
        <f t="shared" si="24"/>
        <v>1.8333333333333333</v>
      </c>
      <c r="BA35" s="348">
        <f>ROUND(AZ35,0)*12-2</f>
        <v>22</v>
      </c>
      <c r="BB35" s="292">
        <v>1450</v>
      </c>
      <c r="BC35" s="303">
        <f t="shared" si="25"/>
        <v>31900</v>
      </c>
      <c r="BD35" s="298">
        <f t="shared" si="26"/>
        <v>0</v>
      </c>
      <c r="BE35" s="271">
        <f t="shared" si="32"/>
        <v>0</v>
      </c>
      <c r="BG35" s="37">
        <f t="shared" si="33"/>
        <v>226815</v>
      </c>
    </row>
    <row r="36" spans="1:59" x14ac:dyDescent="0.3">
      <c r="A36" s="21" t="s">
        <v>23</v>
      </c>
      <c r="B36" s="132">
        <v>350</v>
      </c>
      <c r="C36" s="95">
        <v>1</v>
      </c>
      <c r="D36" s="116">
        <v>52</v>
      </c>
      <c r="E36" s="117">
        <v>52</v>
      </c>
      <c r="F36" s="103">
        <f t="shared" ref="F36:F67" si="35">E36-D36</f>
        <v>0</v>
      </c>
      <c r="G36" s="113">
        <v>8</v>
      </c>
      <c r="H36" s="110">
        <v>6</v>
      </c>
      <c r="I36" s="105">
        <f t="shared" ref="I36:I67" si="36">H36-G36</f>
        <v>-2</v>
      </c>
      <c r="J36" s="22">
        <f t="shared" ref="J36:J58" si="37">ROUNDUP(D36/5,0)</f>
        <v>11</v>
      </c>
      <c r="K36" s="99">
        <f t="shared" ref="K36:K58" si="38">ROUNDUP(E36/5,0)</f>
        <v>11</v>
      </c>
      <c r="L36" s="169">
        <f t="shared" ref="L36:L67" si="39">K36-H36</f>
        <v>5</v>
      </c>
      <c r="M36" s="126">
        <f t="shared" si="34"/>
        <v>6</v>
      </c>
      <c r="N36" s="27">
        <v>8</v>
      </c>
      <c r="O36" s="119">
        <f t="shared" ref="O36:O60" si="40">N36*$J$2</f>
        <v>222760</v>
      </c>
      <c r="P36" s="119">
        <f t="shared" ref="P36:P60" si="41">O36*$P$2</f>
        <v>67273.52</v>
      </c>
      <c r="Q36" s="119">
        <f t="shared" ref="Q36:Q60" si="42">O36+P36</f>
        <v>290033.52</v>
      </c>
      <c r="R36" s="24">
        <f t="shared" ref="R36:R60" si="43">N36/$N$76</f>
        <v>1.1799410029498525E-2</v>
      </c>
      <c r="S36" s="120" t="e">
        <f>ROUND(R36*#REF!,0)</f>
        <v>#REF!</v>
      </c>
      <c r="T36" s="121" t="e">
        <f t="shared" ref="T36:T60" si="44">S36*$J$2</f>
        <v>#REF!</v>
      </c>
      <c r="U36" s="121" t="e">
        <f t="shared" ref="U36:U60" si="45">ROUND(T36*$P$2,2)</f>
        <v>#REF!</v>
      </c>
      <c r="V36" s="121" t="e">
        <f t="shared" ref="V36:V60" si="46">T36+U36</f>
        <v>#REF!</v>
      </c>
      <c r="W36" s="122" t="e">
        <f t="shared" ref="W36:W60" si="47">IF(V36&gt;=-99,IF(V36&gt;0,ROUNDUP(V36/1000,1),0),ROUNDDOWN(V36/1000,1))*1000</f>
        <v>#REF!</v>
      </c>
      <c r="X36" s="38" t="e">
        <f>W36+'проезд Лизе к бюджету 2018'!L37</f>
        <v>#REF!</v>
      </c>
      <c r="Y36" s="37" t="e">
        <f>#REF!+#REF!</f>
        <v>#REF!</v>
      </c>
      <c r="Z36" s="37" t="e">
        <f t="shared" ref="Z36:Z60" si="48">X36-Y36</f>
        <v>#REF!</v>
      </c>
      <c r="AA36" s="249">
        <v>241360</v>
      </c>
      <c r="AB36" s="242">
        <v>73040</v>
      </c>
      <c r="AC36" s="253">
        <f t="shared" ref="AC36:AC60" si="49">AA36+AB36</f>
        <v>314400</v>
      </c>
      <c r="AD36" s="245">
        <f t="shared" si="16"/>
        <v>167070</v>
      </c>
      <c r="AE36" s="326">
        <v>1450</v>
      </c>
      <c r="AF36" s="340">
        <v>8</v>
      </c>
      <c r="AG36" s="259">
        <v>5755</v>
      </c>
      <c r="AH36" s="274">
        <v>7205</v>
      </c>
      <c r="AI36" s="337"/>
      <c r="AJ36" s="330">
        <f t="shared" ref="AJ36:AJ67" si="50">(1450*AF36)+AD36+AH36</f>
        <v>185875</v>
      </c>
      <c r="AK36" s="143">
        <f t="shared" ref="AK36:AK67" si="51">AJ36-AA36</f>
        <v>-55485</v>
      </c>
      <c r="AL36" s="125">
        <f>AF36-'проезд Лизе к бюджету 2018'!B37</f>
        <v>8</v>
      </c>
      <c r="AM36" s="200">
        <f t="shared" si="27"/>
        <v>-55440</v>
      </c>
      <c r="AN36" s="200">
        <f t="shared" si="28"/>
        <v>-73040</v>
      </c>
      <c r="AO36" s="200">
        <f t="shared" si="29"/>
        <v>-128480</v>
      </c>
      <c r="AP36" s="311">
        <f t="shared" ref="AP36:AP67" si="52">IF(AM36&gt;=-99,IF(AM36&gt;0,ROUNDUP(AM36/1000,1),0),ROUNDDOWN(AM36/1000,1))*1000</f>
        <v>-55400</v>
      </c>
      <c r="AQ36" s="311">
        <f t="shared" ref="AQ36:AQ67" si="53">AN36</f>
        <v>-73040</v>
      </c>
      <c r="AR36" s="312">
        <f t="shared" ref="AR36:AR67" si="54">SUM(AP36:AQ36)</f>
        <v>-128440</v>
      </c>
      <c r="AS36" s="312">
        <f t="shared" si="30"/>
        <v>-128440</v>
      </c>
      <c r="AT36" s="317"/>
      <c r="AU36">
        <v>-45</v>
      </c>
      <c r="AW36" s="279">
        <f t="shared" ref="AW36:AW54" si="55">AC36+AO36</f>
        <v>185920</v>
      </c>
      <c r="AX36" s="280">
        <f t="shared" si="31"/>
        <v>167070</v>
      </c>
      <c r="AY36" s="285">
        <f t="shared" ref="AY36:AY67" si="56">AW36-AX36</f>
        <v>18850</v>
      </c>
      <c r="AZ36" s="296">
        <f t="shared" ref="AZ36:AZ67" si="57">AY36/1450/12</f>
        <v>1.0833333333333333</v>
      </c>
      <c r="BA36" s="348">
        <f>ROUND(AZ36,0)*12+1</f>
        <v>13</v>
      </c>
      <c r="BB36" s="292">
        <v>1450</v>
      </c>
      <c r="BC36" s="303">
        <f t="shared" ref="BC36:BC67" si="58">BA36*BB36</f>
        <v>18850</v>
      </c>
      <c r="BD36" s="298">
        <f t="shared" ref="BD36:BD67" si="59">AY36-BC36</f>
        <v>0</v>
      </c>
      <c r="BE36" s="271">
        <f t="shared" ref="BE36:BE67" si="60">BD36/BB36</f>
        <v>0</v>
      </c>
      <c r="BG36" s="37">
        <f t="shared" si="33"/>
        <v>185920</v>
      </c>
    </row>
    <row r="37" spans="1:59" x14ac:dyDescent="0.3">
      <c r="A37" s="21" t="s">
        <v>25</v>
      </c>
      <c r="B37" s="132">
        <v>458</v>
      </c>
      <c r="C37" s="95">
        <v>3</v>
      </c>
      <c r="D37" s="116">
        <v>58</v>
      </c>
      <c r="E37" s="117">
        <v>54</v>
      </c>
      <c r="F37" s="103">
        <f t="shared" si="35"/>
        <v>-4</v>
      </c>
      <c r="G37" s="113">
        <v>11</v>
      </c>
      <c r="H37" s="110">
        <v>11</v>
      </c>
      <c r="I37" s="105">
        <f t="shared" si="36"/>
        <v>0</v>
      </c>
      <c r="J37" s="22">
        <f t="shared" si="37"/>
        <v>12</v>
      </c>
      <c r="K37" s="99">
        <f t="shared" si="38"/>
        <v>11</v>
      </c>
      <c r="L37" s="169">
        <f t="shared" si="39"/>
        <v>0</v>
      </c>
      <c r="M37" s="126">
        <f t="shared" si="34"/>
        <v>11</v>
      </c>
      <c r="N37" s="25">
        <v>11</v>
      </c>
      <c r="O37" s="119">
        <f t="shared" si="40"/>
        <v>306295</v>
      </c>
      <c r="P37" s="119">
        <f t="shared" si="41"/>
        <v>92501.09</v>
      </c>
      <c r="Q37" s="119">
        <f t="shared" si="42"/>
        <v>398796.08999999997</v>
      </c>
      <c r="R37" s="24">
        <f t="shared" si="43"/>
        <v>1.6224188790560472E-2</v>
      </c>
      <c r="S37" s="120" t="e">
        <f>ROUND(R37*#REF!,0)</f>
        <v>#REF!</v>
      </c>
      <c r="T37" s="121" t="e">
        <f t="shared" si="44"/>
        <v>#REF!</v>
      </c>
      <c r="U37" s="121" t="e">
        <f t="shared" si="45"/>
        <v>#REF!</v>
      </c>
      <c r="V37" s="121" t="e">
        <f t="shared" si="46"/>
        <v>#REF!</v>
      </c>
      <c r="W37" s="122" t="e">
        <f t="shared" si="47"/>
        <v>#REF!</v>
      </c>
      <c r="X37" s="38" t="e">
        <f>W37+'проезд Лизе к бюджету 2018'!L38</f>
        <v>#REF!</v>
      </c>
      <c r="Y37" s="37" t="e">
        <f>#REF!+#REF!</f>
        <v>#REF!</v>
      </c>
      <c r="Z37" s="37" t="e">
        <f t="shared" si="48"/>
        <v>#REF!</v>
      </c>
      <c r="AA37" s="249">
        <v>259960</v>
      </c>
      <c r="AB37" s="242">
        <v>78640</v>
      </c>
      <c r="AC37" s="253">
        <f t="shared" si="49"/>
        <v>338600</v>
      </c>
      <c r="AD37" s="245">
        <f t="shared" si="16"/>
        <v>306295</v>
      </c>
      <c r="AE37" s="326">
        <v>2900</v>
      </c>
      <c r="AF37" s="340">
        <v>16</v>
      </c>
      <c r="AG37" s="259">
        <v>11550</v>
      </c>
      <c r="AH37" s="274">
        <v>14450</v>
      </c>
      <c r="AI37" s="337"/>
      <c r="AJ37" s="330">
        <f t="shared" si="50"/>
        <v>343945</v>
      </c>
      <c r="AK37" s="143">
        <f t="shared" si="51"/>
        <v>83985</v>
      </c>
      <c r="AL37" s="125">
        <f>AF37-'проезд Лизе к бюджету 2018'!B38</f>
        <v>16</v>
      </c>
      <c r="AM37" s="200">
        <f t="shared" si="27"/>
        <v>84035</v>
      </c>
      <c r="AN37" s="200">
        <f t="shared" si="28"/>
        <v>-78640</v>
      </c>
      <c r="AO37" s="200">
        <f t="shared" si="29"/>
        <v>5395</v>
      </c>
      <c r="AP37" s="311">
        <f t="shared" si="52"/>
        <v>84100</v>
      </c>
      <c r="AQ37" s="311">
        <f t="shared" si="53"/>
        <v>-78640</v>
      </c>
      <c r="AR37" s="312">
        <f t="shared" si="54"/>
        <v>5460</v>
      </c>
      <c r="AS37" s="312">
        <f t="shared" si="30"/>
        <v>5460</v>
      </c>
      <c r="AT37" s="317"/>
      <c r="AU37">
        <v>-50</v>
      </c>
      <c r="AW37" s="279">
        <f t="shared" si="55"/>
        <v>343995</v>
      </c>
      <c r="AX37" s="280">
        <f t="shared" si="31"/>
        <v>306295</v>
      </c>
      <c r="AY37" s="285">
        <f t="shared" si="56"/>
        <v>37700</v>
      </c>
      <c r="AZ37" s="296">
        <f t="shared" si="57"/>
        <v>2.1666666666666665</v>
      </c>
      <c r="BA37" s="348">
        <f>ROUND(AZ37,0)*12+2</f>
        <v>26</v>
      </c>
      <c r="BB37" s="292">
        <v>1450</v>
      </c>
      <c r="BC37" s="303">
        <f t="shared" si="58"/>
        <v>37700</v>
      </c>
      <c r="BD37" s="298">
        <f t="shared" si="59"/>
        <v>0</v>
      </c>
      <c r="BE37" s="271">
        <f t="shared" si="60"/>
        <v>0</v>
      </c>
      <c r="BG37" s="37">
        <f t="shared" si="33"/>
        <v>343995</v>
      </c>
    </row>
    <row r="38" spans="1:59" x14ac:dyDescent="0.3">
      <c r="A38" s="21" t="s">
        <v>26</v>
      </c>
      <c r="B38" s="132">
        <v>497</v>
      </c>
      <c r="C38" s="95">
        <v>2</v>
      </c>
      <c r="D38" s="116">
        <v>46</v>
      </c>
      <c r="E38" s="117">
        <v>43</v>
      </c>
      <c r="F38" s="103">
        <f t="shared" si="35"/>
        <v>-3</v>
      </c>
      <c r="G38" s="113">
        <v>10</v>
      </c>
      <c r="H38" s="110">
        <v>10</v>
      </c>
      <c r="I38" s="105">
        <f t="shared" si="36"/>
        <v>0</v>
      </c>
      <c r="J38" s="22">
        <f t="shared" si="37"/>
        <v>10</v>
      </c>
      <c r="K38" s="99">
        <f t="shared" si="38"/>
        <v>9</v>
      </c>
      <c r="L38" s="169">
        <f t="shared" si="39"/>
        <v>-1</v>
      </c>
      <c r="M38" s="178">
        <f>IF(H38&gt;K38,K38,H38)+1</f>
        <v>10</v>
      </c>
      <c r="N38" s="25">
        <v>2</v>
      </c>
      <c r="O38" s="119">
        <f t="shared" si="40"/>
        <v>55690</v>
      </c>
      <c r="P38" s="119">
        <f t="shared" si="41"/>
        <v>16818.38</v>
      </c>
      <c r="Q38" s="119">
        <f t="shared" si="42"/>
        <v>72508.38</v>
      </c>
      <c r="R38" s="24">
        <f t="shared" si="43"/>
        <v>2.9498525073746312E-3</v>
      </c>
      <c r="S38" s="120" t="e">
        <f>ROUND(R38*#REF!,0)</f>
        <v>#REF!</v>
      </c>
      <c r="T38" s="121" t="e">
        <f t="shared" si="44"/>
        <v>#REF!</v>
      </c>
      <c r="U38" s="121" t="e">
        <f t="shared" si="45"/>
        <v>#REF!</v>
      </c>
      <c r="V38" s="121" t="e">
        <f t="shared" si="46"/>
        <v>#REF!</v>
      </c>
      <c r="W38" s="122" t="e">
        <f t="shared" si="47"/>
        <v>#REF!</v>
      </c>
      <c r="X38" s="38" t="e">
        <f>W38+'проезд Лизе к бюджету 2018'!L39</f>
        <v>#REF!</v>
      </c>
      <c r="Y38" s="37" t="e">
        <f>#REF!+#REF!</f>
        <v>#REF!</v>
      </c>
      <c r="Z38" s="37" t="e">
        <f t="shared" si="48"/>
        <v>#REF!</v>
      </c>
      <c r="AA38" s="249">
        <v>92890</v>
      </c>
      <c r="AB38" s="242">
        <v>28210</v>
      </c>
      <c r="AC38" s="253">
        <f t="shared" si="49"/>
        <v>121100</v>
      </c>
      <c r="AD38" s="245">
        <f t="shared" si="16"/>
        <v>278450</v>
      </c>
      <c r="AE38" s="326">
        <v>2900</v>
      </c>
      <c r="AF38" s="340">
        <v>16</v>
      </c>
      <c r="AG38" s="259">
        <v>11522.5</v>
      </c>
      <c r="AH38" s="274">
        <v>14422.5</v>
      </c>
      <c r="AI38" s="337"/>
      <c r="AJ38" s="330">
        <f t="shared" si="50"/>
        <v>316072.5</v>
      </c>
      <c r="AK38" s="143">
        <f t="shared" si="51"/>
        <v>223182.5</v>
      </c>
      <c r="AL38" s="125">
        <f>AF38-'проезд Лизе к бюджету 2018'!B39</f>
        <v>16</v>
      </c>
      <c r="AM38" s="200">
        <f t="shared" si="27"/>
        <v>223260</v>
      </c>
      <c r="AN38" s="200">
        <f t="shared" si="28"/>
        <v>-28210</v>
      </c>
      <c r="AO38" s="200">
        <f t="shared" si="29"/>
        <v>195050</v>
      </c>
      <c r="AP38" s="311">
        <f t="shared" si="52"/>
        <v>223299.99999999997</v>
      </c>
      <c r="AQ38" s="311">
        <f t="shared" si="53"/>
        <v>-28210</v>
      </c>
      <c r="AR38" s="312">
        <f t="shared" si="54"/>
        <v>195089.99999999997</v>
      </c>
      <c r="AS38" s="312">
        <f t="shared" si="30"/>
        <v>195089.99999999997</v>
      </c>
      <c r="AT38" s="317"/>
      <c r="AU38">
        <v>-77.5</v>
      </c>
      <c r="AW38" s="279">
        <f t="shared" si="55"/>
        <v>316150</v>
      </c>
      <c r="AX38" s="280">
        <f t="shared" si="31"/>
        <v>278450</v>
      </c>
      <c r="AY38" s="285">
        <f t="shared" si="56"/>
        <v>37700</v>
      </c>
      <c r="AZ38" s="296">
        <f t="shared" si="57"/>
        <v>2.1666666666666665</v>
      </c>
      <c r="BA38" s="348">
        <f>ROUND(AZ38,0)*12+2</f>
        <v>26</v>
      </c>
      <c r="BB38" s="292">
        <v>1450</v>
      </c>
      <c r="BC38" s="303">
        <f t="shared" si="58"/>
        <v>37700</v>
      </c>
      <c r="BD38" s="298">
        <f t="shared" si="59"/>
        <v>0</v>
      </c>
      <c r="BE38" s="271">
        <f t="shared" si="60"/>
        <v>0</v>
      </c>
      <c r="BG38" s="37">
        <f t="shared" si="33"/>
        <v>316150</v>
      </c>
    </row>
    <row r="39" spans="1:59" x14ac:dyDescent="0.3">
      <c r="A39" s="21" t="s">
        <v>8</v>
      </c>
      <c r="B39" s="269">
        <v>498</v>
      </c>
      <c r="C39" s="95">
        <v>1</v>
      </c>
      <c r="D39" s="106">
        <v>65</v>
      </c>
      <c r="E39" s="176">
        <v>65</v>
      </c>
      <c r="F39" s="103">
        <f t="shared" si="35"/>
        <v>0</v>
      </c>
      <c r="G39" s="111">
        <v>13</v>
      </c>
      <c r="H39" s="104">
        <v>16</v>
      </c>
      <c r="I39" s="105">
        <f t="shared" si="36"/>
        <v>3</v>
      </c>
      <c r="J39" s="22">
        <f t="shared" si="37"/>
        <v>13</v>
      </c>
      <c r="K39" s="170">
        <f t="shared" si="38"/>
        <v>13</v>
      </c>
      <c r="L39" s="169">
        <f t="shared" si="39"/>
        <v>-3</v>
      </c>
      <c r="M39" s="126">
        <f t="shared" ref="M39:M75" si="61">IF(H39&gt;K39,K39,H39)</f>
        <v>13</v>
      </c>
      <c r="N39" s="27">
        <v>13</v>
      </c>
      <c r="O39" s="119">
        <f t="shared" si="40"/>
        <v>361985</v>
      </c>
      <c r="P39" s="119">
        <f t="shared" si="41"/>
        <v>109319.47</v>
      </c>
      <c r="Q39" s="119">
        <f t="shared" si="42"/>
        <v>471304.47</v>
      </c>
      <c r="R39" s="24">
        <f t="shared" si="43"/>
        <v>1.9174041297935103E-2</v>
      </c>
      <c r="S39" s="120" t="e">
        <f>ROUND(R39*#REF!,0)</f>
        <v>#REF!</v>
      </c>
      <c r="T39" s="121" t="e">
        <f t="shared" si="44"/>
        <v>#REF!</v>
      </c>
      <c r="U39" s="121" t="e">
        <f t="shared" si="45"/>
        <v>#REF!</v>
      </c>
      <c r="V39" s="121" t="e">
        <f t="shared" si="46"/>
        <v>#REF!</v>
      </c>
      <c r="W39" s="122" t="e">
        <f t="shared" si="47"/>
        <v>#REF!</v>
      </c>
      <c r="X39" s="38" t="e">
        <f>W39+'проезд Лизе к бюджету 2018'!L40</f>
        <v>#REF!</v>
      </c>
      <c r="Y39" s="37" t="e">
        <f>#REF!+#REF!</f>
        <v>#REF!</v>
      </c>
      <c r="Z39" s="37" t="e">
        <f t="shared" si="48"/>
        <v>#REF!</v>
      </c>
      <c r="AA39" s="249">
        <v>315650</v>
      </c>
      <c r="AB39" s="242">
        <v>95450</v>
      </c>
      <c r="AC39" s="253">
        <f t="shared" si="49"/>
        <v>411100</v>
      </c>
      <c r="AD39" s="245">
        <f t="shared" si="16"/>
        <v>361985</v>
      </c>
      <c r="AE39" s="326">
        <v>1441.83</v>
      </c>
      <c r="AF39" s="339">
        <f>1*8</f>
        <v>8</v>
      </c>
      <c r="AG39" s="259">
        <v>1441.83</v>
      </c>
      <c r="AH39" s="274">
        <v>2892.33</v>
      </c>
      <c r="AI39" s="337"/>
      <c r="AJ39" s="330">
        <f t="shared" si="50"/>
        <v>376477.33</v>
      </c>
      <c r="AK39" s="143">
        <f t="shared" si="51"/>
        <v>60827.330000000016</v>
      </c>
      <c r="AL39" s="125">
        <f>AF39-'проезд Лизе к бюджету 2018'!B40</f>
        <v>4</v>
      </c>
      <c r="AM39" s="200">
        <f t="shared" si="27"/>
        <v>60835</v>
      </c>
      <c r="AN39" s="200">
        <f t="shared" si="28"/>
        <v>-95450</v>
      </c>
      <c r="AO39" s="200">
        <f t="shared" si="29"/>
        <v>-34615</v>
      </c>
      <c r="AP39" s="311">
        <f t="shared" si="52"/>
        <v>60900</v>
      </c>
      <c r="AQ39" s="311">
        <f t="shared" si="53"/>
        <v>-95450</v>
      </c>
      <c r="AR39" s="312">
        <f t="shared" si="54"/>
        <v>-34550</v>
      </c>
      <c r="AS39" s="312">
        <f t="shared" si="30"/>
        <v>-34550</v>
      </c>
      <c r="AT39" s="317"/>
      <c r="AU39">
        <v>-7.6699999999837019</v>
      </c>
      <c r="AW39" s="279">
        <f t="shared" si="55"/>
        <v>376485</v>
      </c>
      <c r="AX39" s="280">
        <f t="shared" si="31"/>
        <v>361985</v>
      </c>
      <c r="AY39" s="285">
        <f t="shared" si="56"/>
        <v>14500</v>
      </c>
      <c r="AZ39" s="296">
        <f t="shared" si="57"/>
        <v>0.83333333333333337</v>
      </c>
      <c r="BA39" s="348">
        <f>ROUND(AZ39,0)*12-2</f>
        <v>10</v>
      </c>
      <c r="BB39" s="292">
        <v>1450</v>
      </c>
      <c r="BC39" s="303">
        <f t="shared" si="58"/>
        <v>14500</v>
      </c>
      <c r="BD39" s="298">
        <f t="shared" si="59"/>
        <v>0</v>
      </c>
      <c r="BE39" s="271">
        <f t="shared" si="60"/>
        <v>0</v>
      </c>
      <c r="BG39" s="37">
        <f t="shared" si="33"/>
        <v>376485</v>
      </c>
    </row>
    <row r="40" spans="1:59" x14ac:dyDescent="0.3">
      <c r="A40" s="21" t="s">
        <v>27</v>
      </c>
      <c r="B40" s="132">
        <v>512</v>
      </c>
      <c r="C40" s="95">
        <v>1</v>
      </c>
      <c r="D40" s="106">
        <v>50</v>
      </c>
      <c r="E40" s="101">
        <v>50</v>
      </c>
      <c r="F40" s="103">
        <f t="shared" si="35"/>
        <v>0</v>
      </c>
      <c r="G40" s="111">
        <v>13</v>
      </c>
      <c r="H40" s="104">
        <v>11</v>
      </c>
      <c r="I40" s="105">
        <f t="shared" si="36"/>
        <v>-2</v>
      </c>
      <c r="J40" s="22">
        <f t="shared" si="37"/>
        <v>10</v>
      </c>
      <c r="K40" s="170">
        <f t="shared" si="38"/>
        <v>10</v>
      </c>
      <c r="L40" s="169">
        <f t="shared" si="39"/>
        <v>-1</v>
      </c>
      <c r="M40" s="126">
        <f t="shared" si="61"/>
        <v>10</v>
      </c>
      <c r="N40" s="27">
        <v>10</v>
      </c>
      <c r="O40" s="119">
        <f t="shared" si="40"/>
        <v>278450</v>
      </c>
      <c r="P40" s="119">
        <f t="shared" si="41"/>
        <v>84091.9</v>
      </c>
      <c r="Q40" s="119">
        <f t="shared" si="42"/>
        <v>362541.9</v>
      </c>
      <c r="R40" s="24">
        <f t="shared" si="43"/>
        <v>1.4749262536873156E-2</v>
      </c>
      <c r="S40" s="120" t="e">
        <f>ROUND(R40*#REF!,0)</f>
        <v>#REF!</v>
      </c>
      <c r="T40" s="121" t="e">
        <f t="shared" si="44"/>
        <v>#REF!</v>
      </c>
      <c r="U40" s="121" t="e">
        <f t="shared" si="45"/>
        <v>#REF!</v>
      </c>
      <c r="V40" s="121" t="e">
        <f t="shared" si="46"/>
        <v>#REF!</v>
      </c>
      <c r="W40" s="122" t="e">
        <f t="shared" si="47"/>
        <v>#REF!</v>
      </c>
      <c r="X40" s="38" t="e">
        <f>W40+'проезд Лизе к бюджету 2018'!L41</f>
        <v>#REF!</v>
      </c>
      <c r="Y40" s="37" t="e">
        <f>#REF!+#REF!</f>
        <v>#REF!</v>
      </c>
      <c r="Z40" s="37" t="e">
        <f t="shared" si="48"/>
        <v>#REF!</v>
      </c>
      <c r="AA40" s="249">
        <v>157825</v>
      </c>
      <c r="AB40" s="242">
        <v>47875</v>
      </c>
      <c r="AC40" s="253">
        <f t="shared" si="49"/>
        <v>205700</v>
      </c>
      <c r="AD40" s="245">
        <f t="shared" si="16"/>
        <v>278450</v>
      </c>
      <c r="AE40" s="326">
        <v>1450</v>
      </c>
      <c r="AF40" s="340">
        <v>8</v>
      </c>
      <c r="AG40" s="259">
        <v>5782.5</v>
      </c>
      <c r="AH40" s="274">
        <v>7232.5</v>
      </c>
      <c r="AI40" s="337"/>
      <c r="AJ40" s="330">
        <f t="shared" si="50"/>
        <v>297282.5</v>
      </c>
      <c r="AK40" s="143">
        <f t="shared" si="51"/>
        <v>139457.5</v>
      </c>
      <c r="AL40" s="125">
        <f>AF40-'проезд Лизе к бюджету 2018'!B41</f>
        <v>7</v>
      </c>
      <c r="AM40" s="200">
        <f t="shared" si="27"/>
        <v>139475</v>
      </c>
      <c r="AN40" s="200">
        <f t="shared" si="28"/>
        <v>-47875</v>
      </c>
      <c r="AO40" s="200">
        <f t="shared" si="29"/>
        <v>91600</v>
      </c>
      <c r="AP40" s="311">
        <f t="shared" si="52"/>
        <v>139500</v>
      </c>
      <c r="AQ40" s="311">
        <f t="shared" si="53"/>
        <v>-47875</v>
      </c>
      <c r="AR40" s="312">
        <f t="shared" si="54"/>
        <v>91625</v>
      </c>
      <c r="AS40" s="312">
        <f t="shared" si="30"/>
        <v>91625</v>
      </c>
      <c r="AT40" s="317"/>
      <c r="AU40">
        <v>-17.5</v>
      </c>
      <c r="AW40" s="279">
        <f t="shared" si="55"/>
        <v>297300</v>
      </c>
      <c r="AX40" s="280">
        <f t="shared" si="31"/>
        <v>278450</v>
      </c>
      <c r="AY40" s="285">
        <f t="shared" si="56"/>
        <v>18850</v>
      </c>
      <c r="AZ40" s="296">
        <f t="shared" si="57"/>
        <v>1.0833333333333333</v>
      </c>
      <c r="BA40" s="348">
        <f>ROUND(AZ40,0)*12+1</f>
        <v>13</v>
      </c>
      <c r="BB40" s="292">
        <v>1450</v>
      </c>
      <c r="BC40" s="303">
        <f t="shared" si="58"/>
        <v>18850</v>
      </c>
      <c r="BD40" s="298">
        <f t="shared" si="59"/>
        <v>0</v>
      </c>
      <c r="BE40" s="271">
        <f t="shared" si="60"/>
        <v>0</v>
      </c>
      <c r="BG40" s="37">
        <f t="shared" si="33"/>
        <v>297300</v>
      </c>
    </row>
    <row r="41" spans="1:59" x14ac:dyDescent="0.3">
      <c r="A41" s="21" t="s">
        <v>28</v>
      </c>
      <c r="B41" s="132">
        <v>513</v>
      </c>
      <c r="C41" s="95">
        <v>6</v>
      </c>
      <c r="D41" s="106">
        <v>73</v>
      </c>
      <c r="E41" s="101">
        <v>75</v>
      </c>
      <c r="F41" s="103">
        <f t="shared" si="35"/>
        <v>2</v>
      </c>
      <c r="G41" s="111">
        <v>17</v>
      </c>
      <c r="H41" s="104">
        <v>15</v>
      </c>
      <c r="I41" s="105">
        <f t="shared" si="36"/>
        <v>-2</v>
      </c>
      <c r="J41" s="22">
        <f t="shared" si="37"/>
        <v>15</v>
      </c>
      <c r="K41" s="99">
        <f t="shared" si="38"/>
        <v>15</v>
      </c>
      <c r="L41" s="169">
        <f t="shared" si="39"/>
        <v>0</v>
      </c>
      <c r="M41" s="126">
        <f t="shared" si="61"/>
        <v>15</v>
      </c>
      <c r="N41" s="27">
        <v>15</v>
      </c>
      <c r="O41" s="119">
        <f t="shared" si="40"/>
        <v>417675</v>
      </c>
      <c r="P41" s="119">
        <f t="shared" si="41"/>
        <v>126137.84999999999</v>
      </c>
      <c r="Q41" s="119">
        <f t="shared" si="42"/>
        <v>543812.85</v>
      </c>
      <c r="R41" s="24">
        <f t="shared" si="43"/>
        <v>2.2123893805309734E-2</v>
      </c>
      <c r="S41" s="120" t="e">
        <f>ROUND(R41*#REF!,0)-1</f>
        <v>#REF!</v>
      </c>
      <c r="T41" s="121" t="e">
        <f t="shared" si="44"/>
        <v>#REF!</v>
      </c>
      <c r="U41" s="121" t="e">
        <f t="shared" si="45"/>
        <v>#REF!</v>
      </c>
      <c r="V41" s="121" t="e">
        <f t="shared" si="46"/>
        <v>#REF!</v>
      </c>
      <c r="W41" s="122" t="e">
        <f t="shared" si="47"/>
        <v>#REF!</v>
      </c>
      <c r="X41" s="38" t="e">
        <f>W41+'проезд Лизе к бюджету 2018'!L42</f>
        <v>#REF!</v>
      </c>
      <c r="Y41" s="37" t="e">
        <f>#REF!+#REF!</f>
        <v>#REF!</v>
      </c>
      <c r="Z41" s="37" t="e">
        <f t="shared" si="48"/>
        <v>#REF!</v>
      </c>
      <c r="AA41" s="249">
        <v>482940</v>
      </c>
      <c r="AB41" s="242">
        <v>145060</v>
      </c>
      <c r="AC41" s="253">
        <f t="shared" si="49"/>
        <v>628000</v>
      </c>
      <c r="AD41" s="245">
        <f t="shared" si="16"/>
        <v>417675</v>
      </c>
      <c r="AE41" s="326">
        <v>10150</v>
      </c>
      <c r="AF41" s="340">
        <v>39</v>
      </c>
      <c r="AG41" s="259">
        <v>43375.3</v>
      </c>
      <c r="AH41" s="274">
        <v>52075.3</v>
      </c>
      <c r="AI41" s="337"/>
      <c r="AJ41" s="330">
        <f t="shared" si="50"/>
        <v>526300.30000000005</v>
      </c>
      <c r="AK41" s="143">
        <f t="shared" si="51"/>
        <v>43360.300000000047</v>
      </c>
      <c r="AL41" s="125">
        <f>AF41-'проезд Лизе к бюджету 2018'!B42</f>
        <v>32</v>
      </c>
      <c r="AM41" s="200">
        <f t="shared" si="27"/>
        <v>43485</v>
      </c>
      <c r="AN41" s="200">
        <f t="shared" si="28"/>
        <v>-145060</v>
      </c>
      <c r="AO41" s="200">
        <f t="shared" si="29"/>
        <v>-101575</v>
      </c>
      <c r="AP41" s="311">
        <f t="shared" si="52"/>
        <v>43500</v>
      </c>
      <c r="AQ41" s="311">
        <f t="shared" si="53"/>
        <v>-145060</v>
      </c>
      <c r="AR41" s="312">
        <f t="shared" si="54"/>
        <v>-101560</v>
      </c>
      <c r="AS41" s="312">
        <f t="shared" si="30"/>
        <v>-101560</v>
      </c>
      <c r="AT41" s="317"/>
      <c r="AU41">
        <v>-124.69999999995343</v>
      </c>
      <c r="AW41" s="279">
        <f t="shared" si="55"/>
        <v>526425</v>
      </c>
      <c r="AX41" s="280">
        <f t="shared" si="31"/>
        <v>417675</v>
      </c>
      <c r="AY41" s="285">
        <f t="shared" si="56"/>
        <v>108750</v>
      </c>
      <c r="AZ41" s="296">
        <f t="shared" si="57"/>
        <v>6.25</v>
      </c>
      <c r="BA41" s="348">
        <f>ROUND(AZ41,0)*12+3</f>
        <v>75</v>
      </c>
      <c r="BB41" s="292">
        <v>1450</v>
      </c>
      <c r="BC41" s="303">
        <f t="shared" si="58"/>
        <v>108750</v>
      </c>
      <c r="BD41" s="298">
        <f t="shared" si="59"/>
        <v>0</v>
      </c>
      <c r="BE41" s="271">
        <f t="shared" si="60"/>
        <v>0</v>
      </c>
      <c r="BG41" s="37">
        <f t="shared" si="33"/>
        <v>526425</v>
      </c>
    </row>
    <row r="42" spans="1:59" x14ac:dyDescent="0.3">
      <c r="A42" s="21" t="s">
        <v>29</v>
      </c>
      <c r="B42" s="132">
        <v>516</v>
      </c>
      <c r="C42" s="95">
        <v>2</v>
      </c>
      <c r="D42" s="106">
        <v>45</v>
      </c>
      <c r="E42" s="101">
        <v>38</v>
      </c>
      <c r="F42" s="103">
        <f t="shared" si="35"/>
        <v>-7</v>
      </c>
      <c r="G42" s="111">
        <v>9</v>
      </c>
      <c r="H42" s="104">
        <v>7</v>
      </c>
      <c r="I42" s="105">
        <f t="shared" si="36"/>
        <v>-2</v>
      </c>
      <c r="J42" s="22">
        <f t="shared" si="37"/>
        <v>9</v>
      </c>
      <c r="K42" s="99">
        <f t="shared" si="38"/>
        <v>8</v>
      </c>
      <c r="L42" s="169">
        <f t="shared" si="39"/>
        <v>1</v>
      </c>
      <c r="M42" s="126">
        <f t="shared" si="61"/>
        <v>7</v>
      </c>
      <c r="N42" s="27">
        <v>9</v>
      </c>
      <c r="O42" s="119">
        <f t="shared" si="40"/>
        <v>250605</v>
      </c>
      <c r="P42" s="119">
        <f t="shared" si="41"/>
        <v>75682.709999999992</v>
      </c>
      <c r="Q42" s="119">
        <f t="shared" si="42"/>
        <v>326287.70999999996</v>
      </c>
      <c r="R42" s="24">
        <f t="shared" si="43"/>
        <v>1.3274336283185841E-2</v>
      </c>
      <c r="S42" s="120" t="e">
        <f>ROUND(R42*#REF!,0)</f>
        <v>#REF!</v>
      </c>
      <c r="T42" s="121" t="e">
        <f t="shared" si="44"/>
        <v>#REF!</v>
      </c>
      <c r="U42" s="121" t="e">
        <f t="shared" si="45"/>
        <v>#REF!</v>
      </c>
      <c r="V42" s="121" t="e">
        <f t="shared" si="46"/>
        <v>#REF!</v>
      </c>
      <c r="W42" s="122" t="e">
        <f t="shared" si="47"/>
        <v>#REF!</v>
      </c>
      <c r="X42" s="38" t="e">
        <f>W42+'проезд Лизе к бюджету 2018'!L43</f>
        <v>#REF!</v>
      </c>
      <c r="Y42" s="37" t="e">
        <f>#REF!+#REF!</f>
        <v>#REF!</v>
      </c>
      <c r="Z42" s="37" t="e">
        <f t="shared" si="48"/>
        <v>#REF!</v>
      </c>
      <c r="AA42" s="249">
        <v>213625</v>
      </c>
      <c r="AB42" s="242">
        <v>64675</v>
      </c>
      <c r="AC42" s="253">
        <f t="shared" si="49"/>
        <v>278300</v>
      </c>
      <c r="AD42" s="245">
        <f t="shared" si="16"/>
        <v>194915</v>
      </c>
      <c r="AE42" s="326">
        <v>5800</v>
      </c>
      <c r="AF42" s="340">
        <v>31</v>
      </c>
      <c r="AG42" s="259">
        <v>23108.3</v>
      </c>
      <c r="AH42" s="274">
        <v>28908.3</v>
      </c>
      <c r="AI42" s="337"/>
      <c r="AJ42" s="330">
        <f t="shared" si="50"/>
        <v>268773.3</v>
      </c>
      <c r="AK42" s="143">
        <f t="shared" si="51"/>
        <v>55148.299999999988</v>
      </c>
      <c r="AL42" s="125">
        <f>AF42-'проезд Лизе к бюджету 2018'!B43</f>
        <v>28</v>
      </c>
      <c r="AM42" s="200">
        <f t="shared" si="27"/>
        <v>55240</v>
      </c>
      <c r="AN42" s="200">
        <f t="shared" si="28"/>
        <v>-64675</v>
      </c>
      <c r="AO42" s="200">
        <f t="shared" si="29"/>
        <v>-9435</v>
      </c>
      <c r="AP42" s="311">
        <f t="shared" si="52"/>
        <v>55300.000000000007</v>
      </c>
      <c r="AQ42" s="311">
        <f t="shared" si="53"/>
        <v>-64675</v>
      </c>
      <c r="AR42" s="312">
        <f t="shared" si="54"/>
        <v>-9374.9999999999927</v>
      </c>
      <c r="AS42" s="312">
        <f t="shared" si="30"/>
        <v>-9374.9999999999927</v>
      </c>
      <c r="AT42" s="317"/>
      <c r="AU42">
        <v>-91.700000000011642</v>
      </c>
      <c r="AW42" s="279">
        <f t="shared" si="55"/>
        <v>268865</v>
      </c>
      <c r="AX42" s="280">
        <f t="shared" si="31"/>
        <v>194915</v>
      </c>
      <c r="AY42" s="285">
        <f t="shared" si="56"/>
        <v>73950</v>
      </c>
      <c r="AZ42" s="296">
        <f t="shared" si="57"/>
        <v>4.25</v>
      </c>
      <c r="BA42" s="348">
        <f>ROUND(AZ42,0)*12+3</f>
        <v>51</v>
      </c>
      <c r="BB42" s="292">
        <v>1450</v>
      </c>
      <c r="BC42" s="303">
        <f t="shared" si="58"/>
        <v>73950</v>
      </c>
      <c r="BD42" s="298">
        <f t="shared" si="59"/>
        <v>0</v>
      </c>
      <c r="BE42" s="271">
        <f t="shared" si="60"/>
        <v>0</v>
      </c>
      <c r="BG42" s="37">
        <f t="shared" si="33"/>
        <v>268865</v>
      </c>
    </row>
    <row r="43" spans="1:59" x14ac:dyDescent="0.3">
      <c r="A43" s="21" t="s">
        <v>30</v>
      </c>
      <c r="B43" s="132">
        <v>527</v>
      </c>
      <c r="C43" s="95">
        <v>1</v>
      </c>
      <c r="D43" s="106">
        <v>39</v>
      </c>
      <c r="E43" s="101">
        <v>39</v>
      </c>
      <c r="F43" s="103">
        <f t="shared" si="35"/>
        <v>0</v>
      </c>
      <c r="G43" s="111">
        <v>8</v>
      </c>
      <c r="H43" s="104">
        <v>8</v>
      </c>
      <c r="I43" s="105">
        <f t="shared" si="36"/>
        <v>0</v>
      </c>
      <c r="J43" s="22">
        <f t="shared" si="37"/>
        <v>8</v>
      </c>
      <c r="K43" s="99">
        <f t="shared" si="38"/>
        <v>8</v>
      </c>
      <c r="L43" s="169">
        <f t="shared" si="39"/>
        <v>0</v>
      </c>
      <c r="M43" s="126">
        <f t="shared" si="61"/>
        <v>8</v>
      </c>
      <c r="N43" s="27">
        <v>8</v>
      </c>
      <c r="O43" s="119">
        <f t="shared" si="40"/>
        <v>222760</v>
      </c>
      <c r="P43" s="119">
        <f t="shared" si="41"/>
        <v>67273.52</v>
      </c>
      <c r="Q43" s="119">
        <f t="shared" si="42"/>
        <v>290033.52</v>
      </c>
      <c r="R43" s="24">
        <f t="shared" si="43"/>
        <v>1.1799410029498525E-2</v>
      </c>
      <c r="S43" s="120" t="e">
        <f>ROUND(R43*#REF!,0)</f>
        <v>#REF!</v>
      </c>
      <c r="T43" s="121" t="e">
        <f t="shared" si="44"/>
        <v>#REF!</v>
      </c>
      <c r="U43" s="121" t="e">
        <f t="shared" si="45"/>
        <v>#REF!</v>
      </c>
      <c r="V43" s="121" t="e">
        <f t="shared" si="46"/>
        <v>#REF!</v>
      </c>
      <c r="W43" s="122" t="e">
        <f t="shared" si="47"/>
        <v>#REF!</v>
      </c>
      <c r="X43" s="38" t="e">
        <f>W43+'проезд Лизе к бюджету 2018'!L44</f>
        <v>#REF!</v>
      </c>
      <c r="Y43" s="37" t="e">
        <f>#REF!+#REF!</f>
        <v>#REF!</v>
      </c>
      <c r="Z43" s="37" t="e">
        <f t="shared" si="48"/>
        <v>#REF!</v>
      </c>
      <c r="AA43" s="249">
        <v>167070</v>
      </c>
      <c r="AB43" s="242">
        <v>50530</v>
      </c>
      <c r="AC43" s="253">
        <f t="shared" si="49"/>
        <v>217600</v>
      </c>
      <c r="AD43" s="245">
        <f t="shared" si="16"/>
        <v>222760</v>
      </c>
      <c r="AE43" s="326"/>
      <c r="AF43" s="340">
        <v>0</v>
      </c>
      <c r="AG43" s="259"/>
      <c r="AH43" s="274"/>
      <c r="AI43" s="337"/>
      <c r="AJ43" s="330">
        <f t="shared" si="50"/>
        <v>222760</v>
      </c>
      <c r="AK43" s="143">
        <f t="shared" si="51"/>
        <v>55690</v>
      </c>
      <c r="AL43" s="125">
        <f>AF43-'проезд Лизе к бюджету 2018'!B44</f>
        <v>-1</v>
      </c>
      <c r="AM43" s="200">
        <f t="shared" si="27"/>
        <v>55690</v>
      </c>
      <c r="AN43" s="200">
        <f t="shared" si="28"/>
        <v>-50530</v>
      </c>
      <c r="AO43" s="200">
        <f t="shared" si="29"/>
        <v>5160</v>
      </c>
      <c r="AP43" s="311">
        <f t="shared" si="52"/>
        <v>55700</v>
      </c>
      <c r="AQ43" s="311">
        <f t="shared" si="53"/>
        <v>-50530</v>
      </c>
      <c r="AR43" s="312">
        <f t="shared" si="54"/>
        <v>5170</v>
      </c>
      <c r="AS43" s="312">
        <f t="shared" si="30"/>
        <v>5170</v>
      </c>
      <c r="AT43" s="317"/>
      <c r="AU43">
        <v>0</v>
      </c>
      <c r="AW43" s="279">
        <f t="shared" si="55"/>
        <v>222760</v>
      </c>
      <c r="AX43" s="280">
        <f t="shared" si="31"/>
        <v>222760</v>
      </c>
      <c r="AY43" s="285">
        <f t="shared" si="56"/>
        <v>0</v>
      </c>
      <c r="AZ43" s="296">
        <f t="shared" si="57"/>
        <v>0</v>
      </c>
      <c r="BA43" s="348">
        <f>ROUND(AZ43,0)*12</f>
        <v>0</v>
      </c>
      <c r="BB43" s="292">
        <v>1450</v>
      </c>
      <c r="BC43" s="303">
        <f t="shared" si="58"/>
        <v>0</v>
      </c>
      <c r="BD43" s="298">
        <f t="shared" si="59"/>
        <v>0</v>
      </c>
      <c r="BE43" s="271">
        <f t="shared" si="60"/>
        <v>0</v>
      </c>
      <c r="BG43" s="37">
        <f t="shared" si="33"/>
        <v>222760</v>
      </c>
    </row>
    <row r="44" spans="1:59" x14ac:dyDescent="0.3">
      <c r="A44" s="21" t="s">
        <v>38</v>
      </c>
      <c r="B44" s="269">
        <v>528</v>
      </c>
      <c r="C44" s="95">
        <v>1</v>
      </c>
      <c r="D44" s="116">
        <v>86</v>
      </c>
      <c r="E44" s="177">
        <v>86</v>
      </c>
      <c r="F44" s="103">
        <f t="shared" si="35"/>
        <v>0</v>
      </c>
      <c r="G44" s="113">
        <v>20</v>
      </c>
      <c r="H44" s="110">
        <v>20</v>
      </c>
      <c r="I44" s="105">
        <f t="shared" si="36"/>
        <v>0</v>
      </c>
      <c r="J44" s="22">
        <f t="shared" si="37"/>
        <v>18</v>
      </c>
      <c r="K44" s="170">
        <f t="shared" si="38"/>
        <v>18</v>
      </c>
      <c r="L44" s="169">
        <f t="shared" si="39"/>
        <v>-2</v>
      </c>
      <c r="M44" s="126">
        <f t="shared" si="61"/>
        <v>18</v>
      </c>
      <c r="N44" s="27">
        <v>18</v>
      </c>
      <c r="O44" s="119">
        <f t="shared" si="40"/>
        <v>501210</v>
      </c>
      <c r="P44" s="119">
        <f t="shared" si="41"/>
        <v>151365.41999999998</v>
      </c>
      <c r="Q44" s="119">
        <f t="shared" si="42"/>
        <v>652575.41999999993</v>
      </c>
      <c r="R44" s="24">
        <f t="shared" si="43"/>
        <v>2.6548672566371681E-2</v>
      </c>
      <c r="S44" s="120" t="e">
        <f>ROUND(R44*#REF!,0)-1</f>
        <v>#REF!</v>
      </c>
      <c r="T44" s="121" t="e">
        <f t="shared" si="44"/>
        <v>#REF!</v>
      </c>
      <c r="U44" s="121" t="e">
        <f t="shared" si="45"/>
        <v>#REF!</v>
      </c>
      <c r="V44" s="121" t="e">
        <f t="shared" si="46"/>
        <v>#REF!</v>
      </c>
      <c r="W44" s="122" t="e">
        <f t="shared" si="47"/>
        <v>#REF!</v>
      </c>
      <c r="X44" s="38" t="e">
        <f>W44+'проезд Лизе к бюджету 2018'!L45</f>
        <v>#REF!</v>
      </c>
      <c r="Y44" s="37" t="e">
        <f>#REF!+#REF!</f>
        <v>#REF!</v>
      </c>
      <c r="Z44" s="37" t="e">
        <f t="shared" si="48"/>
        <v>#REF!</v>
      </c>
      <c r="AA44" s="249">
        <v>380585</v>
      </c>
      <c r="AB44" s="242">
        <v>115115</v>
      </c>
      <c r="AC44" s="253">
        <f t="shared" si="49"/>
        <v>495700</v>
      </c>
      <c r="AD44" s="245">
        <f t="shared" si="16"/>
        <v>501210</v>
      </c>
      <c r="AE44" s="326">
        <v>1449.5</v>
      </c>
      <c r="AF44" s="341">
        <f>1*8</f>
        <v>8</v>
      </c>
      <c r="AG44" s="259">
        <v>5800</v>
      </c>
      <c r="AH44" s="274">
        <v>7250.5</v>
      </c>
      <c r="AI44" s="337">
        <v>1755</v>
      </c>
      <c r="AJ44" s="330">
        <f t="shared" si="50"/>
        <v>520060.5</v>
      </c>
      <c r="AK44" s="143">
        <f t="shared" si="51"/>
        <v>139475.5</v>
      </c>
      <c r="AL44" s="125">
        <f>AF44-'проезд Лизе к бюджету 2018'!B45</f>
        <v>7</v>
      </c>
      <c r="AM44" s="200">
        <f t="shared" si="27"/>
        <v>140620</v>
      </c>
      <c r="AN44" s="200">
        <f t="shared" si="28"/>
        <v>-113360</v>
      </c>
      <c r="AO44" s="200">
        <f t="shared" si="29"/>
        <v>27260</v>
      </c>
      <c r="AP44" s="311">
        <f t="shared" si="52"/>
        <v>140700</v>
      </c>
      <c r="AQ44" s="311">
        <f t="shared" si="53"/>
        <v>-113360</v>
      </c>
      <c r="AR44" s="312">
        <f t="shared" si="54"/>
        <v>27340</v>
      </c>
      <c r="AS44" s="312">
        <f t="shared" si="30"/>
        <v>27340</v>
      </c>
      <c r="AT44" s="317"/>
      <c r="AU44">
        <v>-1144.5</v>
      </c>
      <c r="AW44" s="279">
        <f t="shared" si="55"/>
        <v>522960</v>
      </c>
      <c r="AX44" s="280">
        <f t="shared" si="31"/>
        <v>501210</v>
      </c>
      <c r="AY44" s="285">
        <f t="shared" si="56"/>
        <v>21750</v>
      </c>
      <c r="AZ44" s="296">
        <f t="shared" si="57"/>
        <v>1.25</v>
      </c>
      <c r="BA44" s="349">
        <f>ROUND(AZ44,0)*12+3</f>
        <v>15</v>
      </c>
      <c r="BB44" s="292">
        <v>1450</v>
      </c>
      <c r="BC44" s="303">
        <f t="shared" si="58"/>
        <v>21750</v>
      </c>
      <c r="BD44" s="298">
        <f t="shared" si="59"/>
        <v>0</v>
      </c>
      <c r="BE44" s="271">
        <f t="shared" si="60"/>
        <v>0</v>
      </c>
      <c r="BG44" s="37">
        <f t="shared" si="33"/>
        <v>522960</v>
      </c>
    </row>
    <row r="45" spans="1:59" ht="14.4" customHeight="1" x14ac:dyDescent="0.3">
      <c r="A45" s="21" t="s">
        <v>49</v>
      </c>
      <c r="B45" s="132">
        <v>557</v>
      </c>
      <c r="C45" s="95">
        <v>1</v>
      </c>
      <c r="D45" s="116">
        <v>47</v>
      </c>
      <c r="E45" s="117">
        <v>45</v>
      </c>
      <c r="F45" s="103">
        <f t="shared" si="35"/>
        <v>-2</v>
      </c>
      <c r="G45" s="113">
        <v>15</v>
      </c>
      <c r="H45" s="110">
        <v>9</v>
      </c>
      <c r="I45" s="105">
        <f t="shared" si="36"/>
        <v>-6</v>
      </c>
      <c r="J45" s="22">
        <f t="shared" si="37"/>
        <v>10</v>
      </c>
      <c r="K45" s="99">
        <f t="shared" si="38"/>
        <v>9</v>
      </c>
      <c r="L45" s="169">
        <f t="shared" si="39"/>
        <v>0</v>
      </c>
      <c r="M45" s="126">
        <f t="shared" si="61"/>
        <v>9</v>
      </c>
      <c r="N45" s="27">
        <v>10</v>
      </c>
      <c r="O45" s="119">
        <f t="shared" si="40"/>
        <v>278450</v>
      </c>
      <c r="P45" s="119">
        <f t="shared" si="41"/>
        <v>84091.9</v>
      </c>
      <c r="Q45" s="119">
        <f t="shared" si="42"/>
        <v>362541.9</v>
      </c>
      <c r="R45" s="24">
        <f t="shared" si="43"/>
        <v>1.4749262536873156E-2</v>
      </c>
      <c r="S45" s="120" t="e">
        <f>ROUND(R45*#REF!,0)</f>
        <v>#REF!</v>
      </c>
      <c r="T45" s="121" t="e">
        <f t="shared" si="44"/>
        <v>#REF!</v>
      </c>
      <c r="U45" s="121" t="e">
        <f t="shared" si="45"/>
        <v>#REF!</v>
      </c>
      <c r="V45" s="121" t="e">
        <f t="shared" si="46"/>
        <v>#REF!</v>
      </c>
      <c r="W45" s="122" t="e">
        <f t="shared" si="47"/>
        <v>#REF!</v>
      </c>
      <c r="X45" s="38" t="e">
        <f>W45+'проезд Лизе к бюджету 2018'!L46</f>
        <v>#REF!</v>
      </c>
      <c r="Y45" s="37" t="e">
        <f>#REF!+#REF!</f>
        <v>#REF!</v>
      </c>
      <c r="Z45" s="37" t="e">
        <f t="shared" si="48"/>
        <v>#REF!</v>
      </c>
      <c r="AA45" s="249">
        <v>259960</v>
      </c>
      <c r="AB45" s="242">
        <v>78640</v>
      </c>
      <c r="AC45" s="253">
        <f t="shared" si="49"/>
        <v>338600</v>
      </c>
      <c r="AD45" s="245">
        <f t="shared" si="16"/>
        <v>250605</v>
      </c>
      <c r="AE45" s="326">
        <v>2900</v>
      </c>
      <c r="AF45" s="340">
        <v>8</v>
      </c>
      <c r="AG45" s="259">
        <v>11520.4</v>
      </c>
      <c r="AH45" s="274">
        <v>14420.4</v>
      </c>
      <c r="AI45" s="337"/>
      <c r="AJ45" s="330">
        <f t="shared" si="50"/>
        <v>276625.40000000002</v>
      </c>
      <c r="AK45" s="143">
        <f t="shared" si="51"/>
        <v>16665.400000000023</v>
      </c>
      <c r="AL45" s="125">
        <f>AF45-'проезд Лизе к бюджету 2018'!B46</f>
        <v>7</v>
      </c>
      <c r="AM45" s="200">
        <f t="shared" si="27"/>
        <v>16745</v>
      </c>
      <c r="AN45" s="200">
        <f t="shared" si="28"/>
        <v>-78640</v>
      </c>
      <c r="AO45" s="200">
        <f t="shared" si="29"/>
        <v>-61895</v>
      </c>
      <c r="AP45" s="311">
        <f t="shared" si="52"/>
        <v>16800</v>
      </c>
      <c r="AQ45" s="311">
        <f t="shared" si="53"/>
        <v>-78640</v>
      </c>
      <c r="AR45" s="312">
        <f t="shared" si="54"/>
        <v>-61840</v>
      </c>
      <c r="AS45" s="312">
        <f t="shared" si="30"/>
        <v>-61840</v>
      </c>
      <c r="AT45" s="317"/>
      <c r="AU45">
        <v>-79.599999999976717</v>
      </c>
      <c r="AW45" s="279">
        <f t="shared" si="55"/>
        <v>276705</v>
      </c>
      <c r="AX45" s="280">
        <f t="shared" si="31"/>
        <v>250605</v>
      </c>
      <c r="AY45" s="285">
        <f t="shared" si="56"/>
        <v>26100</v>
      </c>
      <c r="AZ45" s="296">
        <f t="shared" si="57"/>
        <v>1.5</v>
      </c>
      <c r="BA45" s="349">
        <v>18</v>
      </c>
      <c r="BB45" s="292">
        <v>1450</v>
      </c>
      <c r="BC45" s="303">
        <f t="shared" si="58"/>
        <v>26100</v>
      </c>
      <c r="BD45" s="298">
        <f t="shared" si="59"/>
        <v>0</v>
      </c>
      <c r="BE45" s="271">
        <f t="shared" si="60"/>
        <v>0</v>
      </c>
      <c r="BG45" s="37">
        <f t="shared" si="33"/>
        <v>276705</v>
      </c>
    </row>
    <row r="46" spans="1:59" x14ac:dyDescent="0.3">
      <c r="A46" s="21" t="s">
        <v>31</v>
      </c>
      <c r="B46" s="132">
        <v>569</v>
      </c>
      <c r="C46" s="95">
        <v>4</v>
      </c>
      <c r="D46" s="116">
        <v>67</v>
      </c>
      <c r="E46" s="117">
        <v>66</v>
      </c>
      <c r="F46" s="103">
        <f t="shared" si="35"/>
        <v>-1</v>
      </c>
      <c r="G46" s="113">
        <v>25</v>
      </c>
      <c r="H46" s="110">
        <v>17</v>
      </c>
      <c r="I46" s="105">
        <f t="shared" si="36"/>
        <v>-8</v>
      </c>
      <c r="J46" s="22">
        <f t="shared" si="37"/>
        <v>14</v>
      </c>
      <c r="K46" s="170">
        <f t="shared" si="38"/>
        <v>14</v>
      </c>
      <c r="L46" s="169">
        <f t="shared" si="39"/>
        <v>-3</v>
      </c>
      <c r="M46" s="126">
        <f t="shared" si="61"/>
        <v>14</v>
      </c>
      <c r="N46" s="27">
        <v>14</v>
      </c>
      <c r="O46" s="119">
        <f t="shared" si="40"/>
        <v>389830</v>
      </c>
      <c r="P46" s="119">
        <f t="shared" si="41"/>
        <v>117728.66</v>
      </c>
      <c r="Q46" s="119">
        <f t="shared" si="42"/>
        <v>507558.66000000003</v>
      </c>
      <c r="R46" s="24">
        <f t="shared" si="43"/>
        <v>2.0648967551622419E-2</v>
      </c>
      <c r="S46" s="120" t="e">
        <f>ROUND(R46*#REF!,0)</f>
        <v>#REF!</v>
      </c>
      <c r="T46" s="121" t="e">
        <f t="shared" si="44"/>
        <v>#REF!</v>
      </c>
      <c r="U46" s="121" t="e">
        <f t="shared" si="45"/>
        <v>#REF!</v>
      </c>
      <c r="V46" s="121" t="e">
        <f t="shared" si="46"/>
        <v>#REF!</v>
      </c>
      <c r="W46" s="122" t="e">
        <f t="shared" si="47"/>
        <v>#REF!</v>
      </c>
      <c r="X46" s="38" t="e">
        <f>W46+'проезд Лизе к бюджету 2018'!L47</f>
        <v>#REF!</v>
      </c>
      <c r="Y46" s="37" t="e">
        <f>#REF!+#REF!</f>
        <v>#REF!</v>
      </c>
      <c r="Z46" s="37" t="e">
        <f t="shared" si="48"/>
        <v>#REF!</v>
      </c>
      <c r="AA46" s="249">
        <v>362095</v>
      </c>
      <c r="AB46" s="242">
        <v>109505</v>
      </c>
      <c r="AC46" s="253">
        <f t="shared" si="49"/>
        <v>471600</v>
      </c>
      <c r="AD46" s="245">
        <f t="shared" si="16"/>
        <v>389830</v>
      </c>
      <c r="AE46" s="326">
        <v>2900</v>
      </c>
      <c r="AF46" s="340">
        <v>20</v>
      </c>
      <c r="AG46" s="259">
        <v>12906.2</v>
      </c>
      <c r="AH46" s="274">
        <v>15806.2</v>
      </c>
      <c r="AI46" s="337"/>
      <c r="AJ46" s="330">
        <f t="shared" si="50"/>
        <v>434636.2</v>
      </c>
      <c r="AK46" s="143">
        <f>AJ46-AA46</f>
        <v>72541.200000000012</v>
      </c>
      <c r="AL46" s="125">
        <f>AF46-'проезд Лизе к бюджету 2018'!B47</f>
        <v>17</v>
      </c>
      <c r="AM46" s="200">
        <f>AK46-AU46</f>
        <v>72685</v>
      </c>
      <c r="AN46" s="200">
        <f t="shared" si="28"/>
        <v>-109505</v>
      </c>
      <c r="AO46" s="200">
        <f>SUM(AM46:AN46)</f>
        <v>-36820</v>
      </c>
      <c r="AP46" s="311">
        <f t="shared" si="52"/>
        <v>72699.999999999985</v>
      </c>
      <c r="AQ46" s="311">
        <f t="shared" si="53"/>
        <v>-109505</v>
      </c>
      <c r="AR46" s="312">
        <f t="shared" si="54"/>
        <v>-36805.000000000015</v>
      </c>
      <c r="AS46" s="312">
        <f t="shared" si="30"/>
        <v>-36805.000000000015</v>
      </c>
      <c r="AT46" s="317"/>
      <c r="AU46">
        <v>-143.79999999998836</v>
      </c>
      <c r="AW46" s="279">
        <f>AC46+AO46</f>
        <v>434780</v>
      </c>
      <c r="AX46" s="280">
        <f t="shared" si="31"/>
        <v>389830</v>
      </c>
      <c r="AY46" s="285">
        <f t="shared" si="56"/>
        <v>44950</v>
      </c>
      <c r="AZ46" s="296">
        <f t="shared" si="57"/>
        <v>2.5833333333333335</v>
      </c>
      <c r="BA46" s="349">
        <f>ROUND(AZ46,0)*12-5</f>
        <v>31</v>
      </c>
      <c r="BB46" s="292">
        <v>1450</v>
      </c>
      <c r="BC46" s="303">
        <f t="shared" si="58"/>
        <v>44950</v>
      </c>
      <c r="BD46" s="298">
        <f t="shared" si="59"/>
        <v>0</v>
      </c>
      <c r="BE46" s="271">
        <f t="shared" si="60"/>
        <v>0</v>
      </c>
      <c r="BG46" s="37">
        <f t="shared" si="33"/>
        <v>434780</v>
      </c>
    </row>
    <row r="47" spans="1:59" x14ac:dyDescent="0.3">
      <c r="A47" s="21" t="s">
        <v>32</v>
      </c>
      <c r="B47" s="132">
        <v>570</v>
      </c>
      <c r="C47" s="95">
        <v>2</v>
      </c>
      <c r="D47" s="116">
        <v>56</v>
      </c>
      <c r="E47" s="117">
        <v>53</v>
      </c>
      <c r="F47" s="103">
        <f t="shared" si="35"/>
        <v>-3</v>
      </c>
      <c r="G47" s="113">
        <v>16</v>
      </c>
      <c r="H47" s="110">
        <v>10</v>
      </c>
      <c r="I47" s="105">
        <f t="shared" si="36"/>
        <v>-6</v>
      </c>
      <c r="J47" s="22">
        <f t="shared" si="37"/>
        <v>12</v>
      </c>
      <c r="K47" s="99">
        <f t="shared" si="38"/>
        <v>11</v>
      </c>
      <c r="L47" s="169">
        <f t="shared" si="39"/>
        <v>1</v>
      </c>
      <c r="M47" s="126">
        <f t="shared" si="61"/>
        <v>10</v>
      </c>
      <c r="N47" s="27">
        <v>12</v>
      </c>
      <c r="O47" s="119">
        <f t="shared" si="40"/>
        <v>334140</v>
      </c>
      <c r="P47" s="119">
        <f t="shared" si="41"/>
        <v>100910.28</v>
      </c>
      <c r="Q47" s="119">
        <f t="shared" si="42"/>
        <v>435050.28</v>
      </c>
      <c r="R47" s="24">
        <f t="shared" si="43"/>
        <v>1.7699115044247787E-2</v>
      </c>
      <c r="S47" s="120" t="e">
        <f>ROUND(R47*#REF!,0)</f>
        <v>#REF!</v>
      </c>
      <c r="T47" s="121" t="e">
        <f t="shared" si="44"/>
        <v>#REF!</v>
      </c>
      <c r="U47" s="121" t="e">
        <f t="shared" si="45"/>
        <v>#REF!</v>
      </c>
      <c r="V47" s="121" t="e">
        <f t="shared" si="46"/>
        <v>#REF!</v>
      </c>
      <c r="W47" s="122" t="e">
        <f t="shared" si="47"/>
        <v>#REF!</v>
      </c>
      <c r="X47" s="38" t="e">
        <f>W47+'проезд Лизе к бюджету 2018'!L48</f>
        <v>#REF!</v>
      </c>
      <c r="Y47" s="37" t="e">
        <f>#REF!+#REF!</f>
        <v>#REF!</v>
      </c>
      <c r="Z47" s="37" t="e">
        <f t="shared" si="48"/>
        <v>#REF!</v>
      </c>
      <c r="AA47" s="249">
        <v>306405</v>
      </c>
      <c r="AB47" s="242">
        <v>92695</v>
      </c>
      <c r="AC47" s="253">
        <f t="shared" si="49"/>
        <v>399100</v>
      </c>
      <c r="AD47" s="245">
        <f t="shared" si="16"/>
        <v>278450</v>
      </c>
      <c r="AE47" s="326">
        <v>4350</v>
      </c>
      <c r="AF47" s="340">
        <v>16</v>
      </c>
      <c r="AG47" s="259">
        <v>17400</v>
      </c>
      <c r="AH47" s="274">
        <v>21750</v>
      </c>
      <c r="AI47" s="337"/>
      <c r="AJ47" s="330">
        <f t="shared" si="50"/>
        <v>323400</v>
      </c>
      <c r="AK47" s="143">
        <f t="shared" si="51"/>
        <v>16995</v>
      </c>
      <c r="AL47" s="125">
        <f>AF47-'проезд Лизе к бюджету 2018'!B48</f>
        <v>12</v>
      </c>
      <c r="AM47" s="200">
        <f t="shared" si="27"/>
        <v>16995</v>
      </c>
      <c r="AN47" s="200">
        <f t="shared" si="28"/>
        <v>-92695</v>
      </c>
      <c r="AO47" s="200">
        <f t="shared" si="29"/>
        <v>-75700</v>
      </c>
      <c r="AP47" s="311">
        <f t="shared" si="52"/>
        <v>17000</v>
      </c>
      <c r="AQ47" s="311">
        <f t="shared" si="53"/>
        <v>-92695</v>
      </c>
      <c r="AR47" s="312">
        <f t="shared" si="54"/>
        <v>-75695</v>
      </c>
      <c r="AS47" s="312">
        <f t="shared" si="30"/>
        <v>-75695</v>
      </c>
      <c r="AT47" s="317"/>
      <c r="AU47">
        <v>0</v>
      </c>
      <c r="AW47" s="279">
        <f t="shared" si="55"/>
        <v>323400</v>
      </c>
      <c r="AX47" s="280">
        <f t="shared" si="31"/>
        <v>278450</v>
      </c>
      <c r="AY47" s="285">
        <f t="shared" si="56"/>
        <v>44950</v>
      </c>
      <c r="AZ47" s="296">
        <f t="shared" si="57"/>
        <v>2.5833333333333335</v>
      </c>
      <c r="BA47" s="349">
        <f>ROUND(AZ47,0)*12-5</f>
        <v>31</v>
      </c>
      <c r="BB47" s="292">
        <v>1450</v>
      </c>
      <c r="BC47" s="303">
        <f t="shared" si="58"/>
        <v>44950</v>
      </c>
      <c r="BD47" s="298">
        <f t="shared" si="59"/>
        <v>0</v>
      </c>
      <c r="BE47" s="271">
        <f t="shared" si="60"/>
        <v>0</v>
      </c>
      <c r="BG47" s="37">
        <f t="shared" si="33"/>
        <v>323400</v>
      </c>
    </row>
    <row r="48" spans="1:59" x14ac:dyDescent="0.3">
      <c r="A48" s="21" t="s">
        <v>33</v>
      </c>
      <c r="B48" s="132">
        <v>571</v>
      </c>
      <c r="C48" s="95">
        <v>0</v>
      </c>
      <c r="D48" s="116">
        <v>66</v>
      </c>
      <c r="E48" s="117">
        <v>66</v>
      </c>
      <c r="F48" s="103">
        <f t="shared" si="35"/>
        <v>0</v>
      </c>
      <c r="G48" s="113">
        <v>16</v>
      </c>
      <c r="H48" s="110">
        <v>16</v>
      </c>
      <c r="I48" s="105">
        <f t="shared" si="36"/>
        <v>0</v>
      </c>
      <c r="J48" s="22">
        <f t="shared" si="37"/>
        <v>14</v>
      </c>
      <c r="K48" s="170">
        <f t="shared" si="38"/>
        <v>14</v>
      </c>
      <c r="L48" s="169">
        <f t="shared" si="39"/>
        <v>-2</v>
      </c>
      <c r="M48" s="126">
        <f t="shared" si="61"/>
        <v>14</v>
      </c>
      <c r="N48" s="27">
        <v>14</v>
      </c>
      <c r="O48" s="119">
        <f t="shared" si="40"/>
        <v>389830</v>
      </c>
      <c r="P48" s="119">
        <f t="shared" si="41"/>
        <v>117728.66</v>
      </c>
      <c r="Q48" s="119">
        <f t="shared" si="42"/>
        <v>507558.66000000003</v>
      </c>
      <c r="R48" s="24">
        <f t="shared" si="43"/>
        <v>2.0648967551622419E-2</v>
      </c>
      <c r="S48" s="120" t="e">
        <f>ROUND(R48*#REF!,0)</f>
        <v>#REF!</v>
      </c>
      <c r="T48" s="121" t="e">
        <f t="shared" si="44"/>
        <v>#REF!</v>
      </c>
      <c r="U48" s="121" t="e">
        <f t="shared" si="45"/>
        <v>#REF!</v>
      </c>
      <c r="V48" s="121" t="e">
        <f t="shared" si="46"/>
        <v>#REF!</v>
      </c>
      <c r="W48" s="122" t="e">
        <f t="shared" si="47"/>
        <v>#REF!</v>
      </c>
      <c r="X48" s="38" t="e">
        <f>W48+'проезд Лизе к бюджету 2018'!L49</f>
        <v>#REF!</v>
      </c>
      <c r="Y48" s="37" t="e">
        <f>#REF!+#REF!</f>
        <v>#REF!</v>
      </c>
      <c r="Z48" s="37" t="e">
        <f t="shared" si="48"/>
        <v>#REF!</v>
      </c>
      <c r="AA48" s="249">
        <v>306295</v>
      </c>
      <c r="AB48" s="242">
        <v>92605</v>
      </c>
      <c r="AC48" s="253">
        <f t="shared" si="49"/>
        <v>398900</v>
      </c>
      <c r="AD48" s="245">
        <f t="shared" si="16"/>
        <v>389830</v>
      </c>
      <c r="AE48" s="326"/>
      <c r="AF48" s="340">
        <v>0</v>
      </c>
      <c r="AG48" s="259"/>
      <c r="AH48" s="274"/>
      <c r="AI48" s="337"/>
      <c r="AJ48" s="330">
        <f t="shared" si="50"/>
        <v>389830</v>
      </c>
      <c r="AK48" s="143">
        <f t="shared" si="51"/>
        <v>83535</v>
      </c>
      <c r="AL48" s="125">
        <f>AF48-'проезд Лизе к бюджету 2018'!B49</f>
        <v>0</v>
      </c>
      <c r="AM48" s="200">
        <f t="shared" si="27"/>
        <v>83535</v>
      </c>
      <c r="AN48" s="200">
        <f t="shared" si="28"/>
        <v>-92605</v>
      </c>
      <c r="AO48" s="200">
        <f t="shared" si="29"/>
        <v>-9070</v>
      </c>
      <c r="AP48" s="311">
        <f t="shared" si="52"/>
        <v>83600</v>
      </c>
      <c r="AQ48" s="311">
        <f t="shared" si="53"/>
        <v>-92605</v>
      </c>
      <c r="AR48" s="312">
        <f t="shared" si="54"/>
        <v>-9005</v>
      </c>
      <c r="AS48" s="312">
        <f t="shared" si="30"/>
        <v>-9005</v>
      </c>
      <c r="AT48" s="317"/>
      <c r="AU48">
        <v>0</v>
      </c>
      <c r="AW48" s="279">
        <f t="shared" si="55"/>
        <v>389830</v>
      </c>
      <c r="AX48" s="280">
        <f t="shared" si="31"/>
        <v>389830</v>
      </c>
      <c r="AY48" s="285">
        <f t="shared" si="56"/>
        <v>0</v>
      </c>
      <c r="AZ48" s="296">
        <f t="shared" si="57"/>
        <v>0</v>
      </c>
      <c r="BA48" s="349">
        <f>ROUND(AZ48,0)*12</f>
        <v>0</v>
      </c>
      <c r="BB48" s="292">
        <v>1450</v>
      </c>
      <c r="BC48" s="303">
        <f t="shared" si="58"/>
        <v>0</v>
      </c>
      <c r="BD48" s="298">
        <f t="shared" si="59"/>
        <v>0</v>
      </c>
      <c r="BE48" s="271">
        <f t="shared" si="60"/>
        <v>0</v>
      </c>
      <c r="BG48" s="37">
        <f t="shared" si="33"/>
        <v>389830</v>
      </c>
    </row>
    <row r="49" spans="1:60" x14ac:dyDescent="0.3">
      <c r="A49" s="21" t="s">
        <v>34</v>
      </c>
      <c r="B49" s="132">
        <v>572</v>
      </c>
      <c r="C49" s="95">
        <v>4</v>
      </c>
      <c r="D49" s="116">
        <v>56</v>
      </c>
      <c r="E49" s="117">
        <v>53</v>
      </c>
      <c r="F49" s="103">
        <f t="shared" si="35"/>
        <v>-3</v>
      </c>
      <c r="G49" s="113">
        <v>9</v>
      </c>
      <c r="H49" s="110">
        <v>9</v>
      </c>
      <c r="I49" s="105">
        <f t="shared" si="36"/>
        <v>0</v>
      </c>
      <c r="J49" s="22">
        <f t="shared" si="37"/>
        <v>12</v>
      </c>
      <c r="K49" s="99">
        <f t="shared" si="38"/>
        <v>11</v>
      </c>
      <c r="L49" s="169">
        <f t="shared" si="39"/>
        <v>2</v>
      </c>
      <c r="M49" s="126">
        <f t="shared" si="61"/>
        <v>9</v>
      </c>
      <c r="N49" s="27">
        <v>9</v>
      </c>
      <c r="O49" s="119">
        <f t="shared" si="40"/>
        <v>250605</v>
      </c>
      <c r="P49" s="119">
        <f t="shared" si="41"/>
        <v>75682.709999999992</v>
      </c>
      <c r="Q49" s="119">
        <f t="shared" si="42"/>
        <v>326287.70999999996</v>
      </c>
      <c r="R49" s="24">
        <f t="shared" si="43"/>
        <v>1.3274336283185841E-2</v>
      </c>
      <c r="S49" s="120" t="e">
        <f>ROUND(R49*#REF!,0)</f>
        <v>#REF!</v>
      </c>
      <c r="T49" s="121" t="e">
        <f t="shared" si="44"/>
        <v>#REF!</v>
      </c>
      <c r="U49" s="121" t="e">
        <f t="shared" si="45"/>
        <v>#REF!</v>
      </c>
      <c r="V49" s="121" t="e">
        <f t="shared" si="46"/>
        <v>#REF!</v>
      </c>
      <c r="W49" s="122" t="e">
        <f t="shared" si="47"/>
        <v>#REF!</v>
      </c>
      <c r="X49" s="38" t="e">
        <f>W49+'проезд Лизе к бюджету 2018'!L50</f>
        <v>#REF!</v>
      </c>
      <c r="Y49" s="37" t="e">
        <f>#REF!+#REF!</f>
        <v>#REF!</v>
      </c>
      <c r="Z49" s="37" t="e">
        <f t="shared" si="48"/>
        <v>#REF!</v>
      </c>
      <c r="AA49" s="249">
        <v>250715</v>
      </c>
      <c r="AB49" s="242">
        <v>75885</v>
      </c>
      <c r="AC49" s="253">
        <f t="shared" si="49"/>
        <v>326600</v>
      </c>
      <c r="AD49" s="245">
        <f t="shared" si="16"/>
        <v>250605</v>
      </c>
      <c r="AE49" s="326">
        <v>4350</v>
      </c>
      <c r="AF49" s="340">
        <v>24</v>
      </c>
      <c r="AG49" s="259">
        <v>17293.3</v>
      </c>
      <c r="AH49" s="274">
        <v>21643.3</v>
      </c>
      <c r="AI49" s="337"/>
      <c r="AJ49" s="330">
        <f t="shared" si="50"/>
        <v>307048.3</v>
      </c>
      <c r="AK49" s="143">
        <f t="shared" si="51"/>
        <v>56333.299999999988</v>
      </c>
      <c r="AL49" s="125">
        <f>AF49-'проезд Лизе к бюджету 2018'!B50</f>
        <v>22</v>
      </c>
      <c r="AM49" s="200">
        <f t="shared" si="27"/>
        <v>56440</v>
      </c>
      <c r="AN49" s="200">
        <f t="shared" si="28"/>
        <v>-75885</v>
      </c>
      <c r="AO49" s="200">
        <f t="shared" si="29"/>
        <v>-19445</v>
      </c>
      <c r="AP49" s="311">
        <f t="shared" si="52"/>
        <v>56500</v>
      </c>
      <c r="AQ49" s="311">
        <f t="shared" si="53"/>
        <v>-75885</v>
      </c>
      <c r="AR49" s="312">
        <f t="shared" si="54"/>
        <v>-19385</v>
      </c>
      <c r="AS49" s="312">
        <f t="shared" si="30"/>
        <v>-19385</v>
      </c>
      <c r="AT49" s="317"/>
      <c r="AU49">
        <v>-106.70000000001164</v>
      </c>
      <c r="AW49" s="279">
        <f t="shared" si="55"/>
        <v>307155</v>
      </c>
      <c r="AX49" s="280">
        <f t="shared" si="31"/>
        <v>250605</v>
      </c>
      <c r="AY49" s="285">
        <f t="shared" si="56"/>
        <v>56550</v>
      </c>
      <c r="AZ49" s="296">
        <f t="shared" si="57"/>
        <v>3.25</v>
      </c>
      <c r="BA49" s="349">
        <f>ROUND(AZ49,0)*12+3</f>
        <v>39</v>
      </c>
      <c r="BB49" s="292">
        <v>1450</v>
      </c>
      <c r="BC49" s="303">
        <f t="shared" si="58"/>
        <v>56550</v>
      </c>
      <c r="BD49" s="298">
        <f t="shared" si="59"/>
        <v>0</v>
      </c>
      <c r="BE49" s="271">
        <f t="shared" si="60"/>
        <v>0</v>
      </c>
      <c r="BG49" s="37">
        <f t="shared" si="33"/>
        <v>307155</v>
      </c>
    </row>
    <row r="50" spans="1:60" x14ac:dyDescent="0.3">
      <c r="A50" s="21" t="s">
        <v>40</v>
      </c>
      <c r="B50" s="132">
        <v>574</v>
      </c>
      <c r="C50" s="95">
        <v>1</v>
      </c>
      <c r="D50" s="116">
        <v>65</v>
      </c>
      <c r="E50" s="117">
        <v>65</v>
      </c>
      <c r="F50" s="103">
        <f t="shared" si="35"/>
        <v>0</v>
      </c>
      <c r="G50" s="113">
        <v>15</v>
      </c>
      <c r="H50" s="110">
        <v>13</v>
      </c>
      <c r="I50" s="105">
        <f t="shared" si="36"/>
        <v>-2</v>
      </c>
      <c r="J50" s="22">
        <f t="shared" si="37"/>
        <v>13</v>
      </c>
      <c r="K50" s="99">
        <f t="shared" si="38"/>
        <v>13</v>
      </c>
      <c r="L50" s="169">
        <f t="shared" si="39"/>
        <v>0</v>
      </c>
      <c r="M50" s="126">
        <f t="shared" si="61"/>
        <v>13</v>
      </c>
      <c r="N50" s="27">
        <v>13</v>
      </c>
      <c r="O50" s="119">
        <f t="shared" si="40"/>
        <v>361985</v>
      </c>
      <c r="P50" s="119">
        <f t="shared" si="41"/>
        <v>109319.47</v>
      </c>
      <c r="Q50" s="119">
        <f t="shared" si="42"/>
        <v>471304.47</v>
      </c>
      <c r="R50" s="24">
        <f t="shared" si="43"/>
        <v>1.9174041297935103E-2</v>
      </c>
      <c r="S50" s="120" t="e">
        <f>ROUND(R50*#REF!,0)</f>
        <v>#REF!</v>
      </c>
      <c r="T50" s="121" t="e">
        <f t="shared" si="44"/>
        <v>#REF!</v>
      </c>
      <c r="U50" s="121" t="e">
        <f t="shared" si="45"/>
        <v>#REF!</v>
      </c>
      <c r="V50" s="121" t="e">
        <f t="shared" si="46"/>
        <v>#REF!</v>
      </c>
      <c r="W50" s="122" t="e">
        <f t="shared" si="47"/>
        <v>#REF!</v>
      </c>
      <c r="X50" s="38" t="e">
        <f>W50+'проезд Лизе к бюджету 2018'!L51</f>
        <v>#REF!</v>
      </c>
      <c r="Y50" s="37" t="e">
        <f>#REF!+#REF!</f>
        <v>#REF!</v>
      </c>
      <c r="Z50" s="37" t="e">
        <f t="shared" si="48"/>
        <v>#REF!</v>
      </c>
      <c r="AA50" s="249">
        <v>287805</v>
      </c>
      <c r="AB50" s="242">
        <v>87095</v>
      </c>
      <c r="AC50" s="253">
        <f t="shared" si="49"/>
        <v>374900</v>
      </c>
      <c r="AD50" s="245">
        <f t="shared" si="16"/>
        <v>361985</v>
      </c>
      <c r="AE50" s="326">
        <v>2900</v>
      </c>
      <c r="AF50" s="340">
        <v>16</v>
      </c>
      <c r="AG50" s="259">
        <v>11463.7</v>
      </c>
      <c r="AH50" s="274">
        <v>14363.7</v>
      </c>
      <c r="AI50" s="337"/>
      <c r="AJ50" s="330">
        <f t="shared" si="50"/>
        <v>399548.7</v>
      </c>
      <c r="AK50" s="143">
        <f t="shared" si="51"/>
        <v>111743.70000000001</v>
      </c>
      <c r="AL50" s="125">
        <f>AF50-'проезд Лизе к бюджету 2018'!B51</f>
        <v>13</v>
      </c>
      <c r="AM50" s="200">
        <f t="shared" si="27"/>
        <v>111880</v>
      </c>
      <c r="AN50" s="200">
        <f t="shared" si="28"/>
        <v>-87095</v>
      </c>
      <c r="AO50" s="200">
        <f t="shared" si="29"/>
        <v>24785</v>
      </c>
      <c r="AP50" s="311">
        <f t="shared" si="52"/>
        <v>111899.99999999999</v>
      </c>
      <c r="AQ50" s="311">
        <f t="shared" si="53"/>
        <v>-87095</v>
      </c>
      <c r="AR50" s="312">
        <f t="shared" si="54"/>
        <v>24804.999999999985</v>
      </c>
      <c r="AS50" s="312">
        <f t="shared" si="30"/>
        <v>24804.999999999985</v>
      </c>
      <c r="AT50" s="317"/>
      <c r="AU50">
        <v>-136.29999999998836</v>
      </c>
      <c r="AW50" s="279">
        <f t="shared" si="55"/>
        <v>399685</v>
      </c>
      <c r="AX50" s="280">
        <f t="shared" si="31"/>
        <v>361985</v>
      </c>
      <c r="AY50" s="285">
        <f t="shared" si="56"/>
        <v>37700</v>
      </c>
      <c r="AZ50" s="296">
        <f t="shared" si="57"/>
        <v>2.1666666666666665</v>
      </c>
      <c r="BA50" s="349">
        <f>ROUND(AZ50,0)*12+2</f>
        <v>26</v>
      </c>
      <c r="BB50" s="292">
        <v>1450</v>
      </c>
      <c r="BC50" s="303">
        <f t="shared" si="58"/>
        <v>37700</v>
      </c>
      <c r="BD50" s="298">
        <f t="shared" si="59"/>
        <v>0</v>
      </c>
      <c r="BE50" s="271">
        <f t="shared" si="60"/>
        <v>0</v>
      </c>
      <c r="BG50" s="37">
        <f t="shared" si="33"/>
        <v>399685</v>
      </c>
    </row>
    <row r="51" spans="1:60" x14ac:dyDescent="0.3">
      <c r="A51" s="21" t="s">
        <v>37</v>
      </c>
      <c r="B51" s="269">
        <v>591</v>
      </c>
      <c r="C51" s="95">
        <v>2</v>
      </c>
      <c r="D51" s="116">
        <v>42</v>
      </c>
      <c r="E51" s="117">
        <v>42</v>
      </c>
      <c r="F51" s="103">
        <f t="shared" si="35"/>
        <v>0</v>
      </c>
      <c r="G51" s="113">
        <v>8</v>
      </c>
      <c r="H51" s="110">
        <v>8</v>
      </c>
      <c r="I51" s="105">
        <f t="shared" si="36"/>
        <v>0</v>
      </c>
      <c r="J51" s="22">
        <f t="shared" si="37"/>
        <v>9</v>
      </c>
      <c r="K51" s="99">
        <f t="shared" si="38"/>
        <v>9</v>
      </c>
      <c r="L51" s="169">
        <f t="shared" si="39"/>
        <v>1</v>
      </c>
      <c r="M51" s="126">
        <f t="shared" si="61"/>
        <v>8</v>
      </c>
      <c r="N51" s="27">
        <v>8</v>
      </c>
      <c r="O51" s="119">
        <f t="shared" si="40"/>
        <v>222760</v>
      </c>
      <c r="P51" s="119">
        <f t="shared" si="41"/>
        <v>67273.52</v>
      </c>
      <c r="Q51" s="119">
        <f t="shared" si="42"/>
        <v>290033.52</v>
      </c>
      <c r="R51" s="24">
        <f t="shared" si="43"/>
        <v>1.1799410029498525E-2</v>
      </c>
      <c r="S51" s="120" t="e">
        <f>ROUND(R51*#REF!,0)</f>
        <v>#REF!</v>
      </c>
      <c r="T51" s="121" t="e">
        <f t="shared" si="44"/>
        <v>#REF!</v>
      </c>
      <c r="U51" s="121" t="e">
        <f t="shared" si="45"/>
        <v>#REF!</v>
      </c>
      <c r="V51" s="121" t="e">
        <f t="shared" si="46"/>
        <v>#REF!</v>
      </c>
      <c r="W51" s="122" t="e">
        <f t="shared" si="47"/>
        <v>#REF!</v>
      </c>
      <c r="X51" s="38" t="e">
        <f>W51+'проезд Лизе к бюджету 2018'!L52</f>
        <v>#REF!</v>
      </c>
      <c r="Y51" s="37" t="e">
        <f>#REF!+#REF!</f>
        <v>#REF!</v>
      </c>
      <c r="Z51" s="37" t="e">
        <f t="shared" si="48"/>
        <v>#REF!</v>
      </c>
      <c r="AA51" s="249">
        <v>185670</v>
      </c>
      <c r="AB51" s="242">
        <v>56230</v>
      </c>
      <c r="AC51" s="253">
        <f t="shared" si="49"/>
        <v>241900</v>
      </c>
      <c r="AD51" s="245">
        <f t="shared" si="16"/>
        <v>222760</v>
      </c>
      <c r="AE51" s="326"/>
      <c r="AF51" s="339">
        <v>0</v>
      </c>
      <c r="AG51" s="259"/>
      <c r="AH51" s="274"/>
      <c r="AI51" s="337"/>
      <c r="AJ51" s="330">
        <f t="shared" si="50"/>
        <v>222760</v>
      </c>
      <c r="AK51" s="143">
        <f t="shared" si="51"/>
        <v>37090</v>
      </c>
      <c r="AL51" s="125">
        <f>AF51-'проезд Лизе к бюджету 2018'!B52</f>
        <v>-1</v>
      </c>
      <c r="AM51" s="200">
        <f t="shared" si="27"/>
        <v>37090</v>
      </c>
      <c r="AN51" s="200">
        <f t="shared" si="28"/>
        <v>-56230</v>
      </c>
      <c r="AO51" s="200">
        <f t="shared" si="29"/>
        <v>-19140</v>
      </c>
      <c r="AP51" s="311">
        <f t="shared" si="52"/>
        <v>37100</v>
      </c>
      <c r="AQ51" s="311">
        <f t="shared" si="53"/>
        <v>-56230</v>
      </c>
      <c r="AR51" s="312">
        <f t="shared" si="54"/>
        <v>-19130</v>
      </c>
      <c r="AS51" s="312">
        <f t="shared" si="30"/>
        <v>-19130</v>
      </c>
      <c r="AT51" s="317"/>
      <c r="AU51">
        <v>0</v>
      </c>
      <c r="AW51" s="279">
        <f t="shared" si="55"/>
        <v>222760</v>
      </c>
      <c r="AX51" s="280">
        <f t="shared" si="31"/>
        <v>222760</v>
      </c>
      <c r="AY51" s="285">
        <f t="shared" si="56"/>
        <v>0</v>
      </c>
      <c r="AZ51" s="296">
        <f t="shared" si="57"/>
        <v>0</v>
      </c>
      <c r="BA51" s="349">
        <f>ROUND(AZ51,0)*12</f>
        <v>0</v>
      </c>
      <c r="BB51" s="292">
        <v>1450</v>
      </c>
      <c r="BC51" s="303">
        <f t="shared" si="58"/>
        <v>0</v>
      </c>
      <c r="BD51" s="298">
        <f t="shared" si="59"/>
        <v>0</v>
      </c>
      <c r="BE51" s="271">
        <f t="shared" si="60"/>
        <v>0</v>
      </c>
      <c r="BG51" s="37">
        <f t="shared" si="33"/>
        <v>222760</v>
      </c>
    </row>
    <row r="52" spans="1:60" ht="15.6" customHeight="1" x14ac:dyDescent="0.3">
      <c r="A52" s="21" t="s">
        <v>35</v>
      </c>
      <c r="B52" s="132">
        <v>592</v>
      </c>
      <c r="C52" s="95">
        <v>0</v>
      </c>
      <c r="D52" s="116">
        <v>48</v>
      </c>
      <c r="E52" s="117">
        <v>48</v>
      </c>
      <c r="F52" s="103">
        <f t="shared" si="35"/>
        <v>0</v>
      </c>
      <c r="G52" s="113">
        <v>9</v>
      </c>
      <c r="H52" s="110">
        <v>9</v>
      </c>
      <c r="I52" s="105">
        <f t="shared" si="36"/>
        <v>0</v>
      </c>
      <c r="J52" s="22">
        <f t="shared" si="37"/>
        <v>10</v>
      </c>
      <c r="K52" s="99">
        <f t="shared" si="38"/>
        <v>10</v>
      </c>
      <c r="L52" s="169">
        <f t="shared" si="39"/>
        <v>1</v>
      </c>
      <c r="M52" s="126">
        <f t="shared" si="61"/>
        <v>9</v>
      </c>
      <c r="N52" s="27">
        <v>9</v>
      </c>
      <c r="O52" s="119">
        <f t="shared" si="40"/>
        <v>250605</v>
      </c>
      <c r="P52" s="119">
        <f t="shared" si="41"/>
        <v>75682.709999999992</v>
      </c>
      <c r="Q52" s="119">
        <f t="shared" si="42"/>
        <v>326287.70999999996</v>
      </c>
      <c r="R52" s="24">
        <f t="shared" si="43"/>
        <v>1.3274336283185841E-2</v>
      </c>
      <c r="S52" s="120" t="e">
        <f>ROUND(R52*#REF!,0)</f>
        <v>#REF!</v>
      </c>
      <c r="T52" s="121" t="e">
        <f t="shared" si="44"/>
        <v>#REF!</v>
      </c>
      <c r="U52" s="121" t="e">
        <f t="shared" si="45"/>
        <v>#REF!</v>
      </c>
      <c r="V52" s="121" t="e">
        <f t="shared" si="46"/>
        <v>#REF!</v>
      </c>
      <c r="W52" s="122" t="e">
        <f t="shared" si="47"/>
        <v>#REF!</v>
      </c>
      <c r="X52" s="38" t="e">
        <f>W52+'проезд Лизе к бюджету 2018'!L53</f>
        <v>#REF!</v>
      </c>
      <c r="Y52" s="37" t="e">
        <f>#REF!+#REF!</f>
        <v>#REF!</v>
      </c>
      <c r="Z52" s="37" t="e">
        <f t="shared" si="48"/>
        <v>#REF!</v>
      </c>
      <c r="AA52" s="249">
        <v>129980</v>
      </c>
      <c r="AB52" s="242">
        <v>39420</v>
      </c>
      <c r="AC52" s="253">
        <f t="shared" si="49"/>
        <v>169400</v>
      </c>
      <c r="AD52" s="245">
        <f t="shared" si="16"/>
        <v>250605</v>
      </c>
      <c r="AE52" s="326">
        <v>1450</v>
      </c>
      <c r="AF52" s="336">
        <v>4</v>
      </c>
      <c r="AG52" s="259">
        <v>5737.9</v>
      </c>
      <c r="AH52" s="274">
        <v>7187.9</v>
      </c>
      <c r="AI52" s="337"/>
      <c r="AJ52" s="330">
        <f t="shared" si="50"/>
        <v>263592.90000000002</v>
      </c>
      <c r="AK52" s="143">
        <f t="shared" si="51"/>
        <v>133612.90000000002</v>
      </c>
      <c r="AL52" s="125">
        <f>AF52-'проезд Лизе к бюджету 2018'!B53</f>
        <v>3</v>
      </c>
      <c r="AM52" s="200">
        <f t="shared" si="27"/>
        <v>133675</v>
      </c>
      <c r="AN52" s="200">
        <f t="shared" si="28"/>
        <v>-39420</v>
      </c>
      <c r="AO52" s="200">
        <f t="shared" si="29"/>
        <v>94255</v>
      </c>
      <c r="AP52" s="311">
        <f t="shared" si="52"/>
        <v>133700</v>
      </c>
      <c r="AQ52" s="311">
        <f t="shared" si="53"/>
        <v>-39420</v>
      </c>
      <c r="AR52" s="312">
        <f t="shared" si="54"/>
        <v>94280</v>
      </c>
      <c r="AS52" s="312">
        <f t="shared" si="30"/>
        <v>94280</v>
      </c>
      <c r="AT52" s="317"/>
      <c r="AU52">
        <v>-62.099999999976717</v>
      </c>
      <c r="AW52" s="279">
        <f t="shared" si="55"/>
        <v>263655</v>
      </c>
      <c r="AX52" s="280">
        <f t="shared" si="31"/>
        <v>250605</v>
      </c>
      <c r="AY52" s="285">
        <f t="shared" si="56"/>
        <v>13050</v>
      </c>
      <c r="AZ52" s="296">
        <f t="shared" si="57"/>
        <v>0.75</v>
      </c>
      <c r="BA52" s="349">
        <f>ROUND(AZ52,0)*12-3</f>
        <v>9</v>
      </c>
      <c r="BB52" s="292">
        <v>1450</v>
      </c>
      <c r="BC52" s="303">
        <f t="shared" si="58"/>
        <v>13050</v>
      </c>
      <c r="BD52" s="298">
        <f t="shared" si="59"/>
        <v>0</v>
      </c>
      <c r="BE52" s="271">
        <f t="shared" si="60"/>
        <v>0</v>
      </c>
      <c r="BG52" s="37">
        <f t="shared" si="33"/>
        <v>263655</v>
      </c>
    </row>
    <row r="53" spans="1:60" ht="14.4" customHeight="1" x14ac:dyDescent="0.3">
      <c r="A53" s="21" t="s">
        <v>36</v>
      </c>
      <c r="B53" s="269">
        <v>593</v>
      </c>
      <c r="C53" s="95"/>
      <c r="D53" s="116"/>
      <c r="E53" s="117">
        <v>49</v>
      </c>
      <c r="F53" s="103">
        <f t="shared" si="35"/>
        <v>49</v>
      </c>
      <c r="G53" s="113"/>
      <c r="H53" s="110">
        <v>10</v>
      </c>
      <c r="I53" s="105">
        <f t="shared" si="36"/>
        <v>10</v>
      </c>
      <c r="J53" s="22">
        <f t="shared" si="37"/>
        <v>0</v>
      </c>
      <c r="K53" s="99">
        <f t="shared" si="38"/>
        <v>10</v>
      </c>
      <c r="L53" s="169">
        <f t="shared" si="39"/>
        <v>0</v>
      </c>
      <c r="M53" s="126">
        <f t="shared" si="61"/>
        <v>10</v>
      </c>
      <c r="N53" s="27"/>
      <c r="O53" s="119">
        <f t="shared" si="40"/>
        <v>0</v>
      </c>
      <c r="P53" s="119">
        <f t="shared" si="41"/>
        <v>0</v>
      </c>
      <c r="Q53" s="119">
        <f t="shared" si="42"/>
        <v>0</v>
      </c>
      <c r="R53" s="24">
        <f t="shared" si="43"/>
        <v>0</v>
      </c>
      <c r="S53" s="120" t="e">
        <f>ROUND(R53*#REF!,0)</f>
        <v>#REF!</v>
      </c>
      <c r="T53" s="121" t="e">
        <f t="shared" si="44"/>
        <v>#REF!</v>
      </c>
      <c r="U53" s="121" t="e">
        <f t="shared" si="45"/>
        <v>#REF!</v>
      </c>
      <c r="V53" s="121" t="e">
        <f t="shared" si="46"/>
        <v>#REF!</v>
      </c>
      <c r="W53" s="122" t="e">
        <f t="shared" si="47"/>
        <v>#REF!</v>
      </c>
      <c r="X53" s="38" t="e">
        <f>W53+'проезд Лизе к бюджету 2018'!L54</f>
        <v>#REF!</v>
      </c>
      <c r="Y53" s="37" t="e">
        <f>#REF!+#REF!</f>
        <v>#REF!</v>
      </c>
      <c r="Z53" s="37" t="e">
        <f t="shared" si="48"/>
        <v>#REF!</v>
      </c>
      <c r="AA53" s="249">
        <v>259960</v>
      </c>
      <c r="AB53" s="242">
        <v>78640</v>
      </c>
      <c r="AC53" s="253">
        <f t="shared" si="49"/>
        <v>338600</v>
      </c>
      <c r="AD53" s="245">
        <f t="shared" si="16"/>
        <v>278450</v>
      </c>
      <c r="AE53" s="326">
        <v>376</v>
      </c>
      <c r="AF53" s="339">
        <f>2*8</f>
        <v>16</v>
      </c>
      <c r="AG53" s="259">
        <v>10078.18</v>
      </c>
      <c r="AH53" s="274">
        <v>12978.18</v>
      </c>
      <c r="AI53" s="337"/>
      <c r="AJ53" s="330">
        <f t="shared" si="50"/>
        <v>314628.18</v>
      </c>
      <c r="AK53" s="143">
        <f t="shared" si="51"/>
        <v>54668.179999999993</v>
      </c>
      <c r="AL53" s="125">
        <f>AF53-'проезд Лизе к бюджету 2018'!B54</f>
        <v>13</v>
      </c>
      <c r="AM53" s="200">
        <f t="shared" si="27"/>
        <v>54740</v>
      </c>
      <c r="AN53" s="200">
        <f t="shared" si="28"/>
        <v>-78640</v>
      </c>
      <c r="AO53" s="200">
        <f t="shared" si="29"/>
        <v>-23900</v>
      </c>
      <c r="AP53" s="311">
        <f t="shared" si="52"/>
        <v>54800.000000000007</v>
      </c>
      <c r="AQ53" s="311">
        <f t="shared" si="53"/>
        <v>-78640</v>
      </c>
      <c r="AR53" s="312">
        <f t="shared" si="54"/>
        <v>-23839.999999999993</v>
      </c>
      <c r="AS53" s="312">
        <f t="shared" si="30"/>
        <v>-23839.999999999993</v>
      </c>
      <c r="AT53" s="317"/>
      <c r="AU53">
        <v>-71.820000000006985</v>
      </c>
      <c r="AW53" s="279">
        <f t="shared" si="55"/>
        <v>314700</v>
      </c>
      <c r="AX53" s="280">
        <f t="shared" si="31"/>
        <v>278450</v>
      </c>
      <c r="AY53" s="285">
        <f t="shared" si="56"/>
        <v>36250</v>
      </c>
      <c r="AZ53" s="296">
        <f t="shared" si="57"/>
        <v>2.0833333333333335</v>
      </c>
      <c r="BA53" s="349">
        <f>ROUND(AZ53,0)*12+1</f>
        <v>25</v>
      </c>
      <c r="BB53" s="292">
        <v>1450</v>
      </c>
      <c r="BC53" s="303">
        <f t="shared" si="58"/>
        <v>36250</v>
      </c>
      <c r="BD53" s="298">
        <f t="shared" si="59"/>
        <v>0</v>
      </c>
      <c r="BE53" s="271">
        <f t="shared" si="60"/>
        <v>0</v>
      </c>
      <c r="BG53" s="37">
        <f t="shared" si="33"/>
        <v>314700</v>
      </c>
    </row>
    <row r="54" spans="1:60" x14ac:dyDescent="0.3">
      <c r="A54" s="21" t="s">
        <v>42</v>
      </c>
      <c r="B54" s="132">
        <v>625</v>
      </c>
      <c r="C54" s="95">
        <v>2</v>
      </c>
      <c r="D54" s="116">
        <v>82</v>
      </c>
      <c r="E54" s="117">
        <v>82</v>
      </c>
      <c r="F54" s="103">
        <f t="shared" si="35"/>
        <v>0</v>
      </c>
      <c r="G54" s="113">
        <v>18</v>
      </c>
      <c r="H54" s="110">
        <v>9</v>
      </c>
      <c r="I54" s="105">
        <f t="shared" si="36"/>
        <v>-9</v>
      </c>
      <c r="J54" s="22">
        <f t="shared" si="37"/>
        <v>17</v>
      </c>
      <c r="K54" s="99">
        <f t="shared" si="38"/>
        <v>17</v>
      </c>
      <c r="L54" s="169">
        <f t="shared" si="39"/>
        <v>8</v>
      </c>
      <c r="M54" s="126">
        <f t="shared" si="61"/>
        <v>9</v>
      </c>
      <c r="N54" s="27">
        <v>17</v>
      </c>
      <c r="O54" s="119">
        <f t="shared" si="40"/>
        <v>473365</v>
      </c>
      <c r="P54" s="119">
        <f t="shared" si="41"/>
        <v>142956.22999999998</v>
      </c>
      <c r="Q54" s="119">
        <f t="shared" si="42"/>
        <v>616321.23</v>
      </c>
      <c r="R54" s="24">
        <f t="shared" si="43"/>
        <v>2.5073746312684365E-2</v>
      </c>
      <c r="S54" s="120" t="e">
        <f>ROUND(R54*#REF!,0)</f>
        <v>#REF!</v>
      </c>
      <c r="T54" s="121" t="e">
        <f t="shared" si="44"/>
        <v>#REF!</v>
      </c>
      <c r="U54" s="121" t="e">
        <f t="shared" si="45"/>
        <v>#REF!</v>
      </c>
      <c r="V54" s="121" t="e">
        <f t="shared" si="46"/>
        <v>#REF!</v>
      </c>
      <c r="W54" s="122" t="e">
        <f t="shared" si="47"/>
        <v>#REF!</v>
      </c>
      <c r="X54" s="38" t="e">
        <f>W54+'проезд Лизе к бюджету 2018'!L55</f>
        <v>#REF!</v>
      </c>
      <c r="Y54" s="37" t="e">
        <f>#REF!+#REF!</f>
        <v>#REF!</v>
      </c>
      <c r="Z54" s="37" t="e">
        <f t="shared" si="48"/>
        <v>#REF!</v>
      </c>
      <c r="AA54" s="249">
        <v>232115</v>
      </c>
      <c r="AB54" s="242">
        <v>70285</v>
      </c>
      <c r="AC54" s="253">
        <f t="shared" si="49"/>
        <v>302400</v>
      </c>
      <c r="AD54" s="245">
        <f t="shared" si="16"/>
        <v>250605</v>
      </c>
      <c r="AE54" s="326">
        <v>2900</v>
      </c>
      <c r="AF54" s="340">
        <v>16</v>
      </c>
      <c r="AG54" s="259">
        <v>11542.51</v>
      </c>
      <c r="AH54" s="274">
        <v>14442.51</v>
      </c>
      <c r="AI54" s="337"/>
      <c r="AJ54" s="330">
        <f t="shared" si="50"/>
        <v>288247.51</v>
      </c>
      <c r="AK54" s="143">
        <f t="shared" si="51"/>
        <v>56132.510000000009</v>
      </c>
      <c r="AL54" s="125">
        <f>AF54-'проезд Лизе к бюджету 2018'!B55</f>
        <v>16</v>
      </c>
      <c r="AM54" s="200">
        <f t="shared" si="27"/>
        <v>56190</v>
      </c>
      <c r="AN54" s="200">
        <f t="shared" si="28"/>
        <v>-70285</v>
      </c>
      <c r="AO54" s="200">
        <f t="shared" si="29"/>
        <v>-14095</v>
      </c>
      <c r="AP54" s="311">
        <f t="shared" si="52"/>
        <v>56200</v>
      </c>
      <c r="AQ54" s="311">
        <f t="shared" si="53"/>
        <v>-70285</v>
      </c>
      <c r="AR54" s="312">
        <f t="shared" si="54"/>
        <v>-14085</v>
      </c>
      <c r="AS54" s="312">
        <f t="shared" si="30"/>
        <v>-14085</v>
      </c>
      <c r="AT54" s="317"/>
      <c r="AU54">
        <v>-57.489999999990687</v>
      </c>
      <c r="AW54" s="279">
        <f t="shared" si="55"/>
        <v>288305</v>
      </c>
      <c r="AX54" s="280">
        <f t="shared" si="31"/>
        <v>250605</v>
      </c>
      <c r="AY54" s="285">
        <f t="shared" si="56"/>
        <v>37700</v>
      </c>
      <c r="AZ54" s="296">
        <f t="shared" si="57"/>
        <v>2.1666666666666665</v>
      </c>
      <c r="BA54" s="349">
        <f>ROUND(AZ54,0)*12+2</f>
        <v>26</v>
      </c>
      <c r="BB54" s="292">
        <v>1450</v>
      </c>
      <c r="BC54" s="303">
        <f t="shared" si="58"/>
        <v>37700</v>
      </c>
      <c r="BD54" s="298">
        <f t="shared" si="59"/>
        <v>0</v>
      </c>
      <c r="BE54" s="271">
        <f t="shared" si="60"/>
        <v>0</v>
      </c>
      <c r="BG54" s="37">
        <f t="shared" si="33"/>
        <v>288305</v>
      </c>
    </row>
    <row r="55" spans="1:60" x14ac:dyDescent="0.3">
      <c r="A55" s="21" t="s">
        <v>63</v>
      </c>
      <c r="B55" s="132">
        <v>627</v>
      </c>
      <c r="C55" s="95">
        <v>3</v>
      </c>
      <c r="D55" s="116">
        <v>98</v>
      </c>
      <c r="E55" s="117">
        <v>98</v>
      </c>
      <c r="F55" s="103">
        <f t="shared" si="35"/>
        <v>0</v>
      </c>
      <c r="G55" s="113">
        <v>20</v>
      </c>
      <c r="H55" s="110">
        <v>15</v>
      </c>
      <c r="I55" s="105">
        <f t="shared" si="36"/>
        <v>-5</v>
      </c>
      <c r="J55" s="22">
        <f t="shared" si="37"/>
        <v>20</v>
      </c>
      <c r="K55" s="99">
        <f t="shared" si="38"/>
        <v>20</v>
      </c>
      <c r="L55" s="169">
        <f t="shared" si="39"/>
        <v>5</v>
      </c>
      <c r="M55" s="126">
        <f t="shared" si="61"/>
        <v>15</v>
      </c>
      <c r="N55" s="27">
        <v>20</v>
      </c>
      <c r="O55" s="119">
        <f t="shared" si="40"/>
        <v>556900</v>
      </c>
      <c r="P55" s="119">
        <f t="shared" si="41"/>
        <v>168183.8</v>
      </c>
      <c r="Q55" s="119">
        <f t="shared" si="42"/>
        <v>725083.8</v>
      </c>
      <c r="R55" s="24">
        <f t="shared" si="43"/>
        <v>2.9498525073746312E-2</v>
      </c>
      <c r="S55" s="120" t="e">
        <f>ROUND(R55*#REF!,0)-1</f>
        <v>#REF!</v>
      </c>
      <c r="T55" s="121" t="e">
        <f t="shared" si="44"/>
        <v>#REF!</v>
      </c>
      <c r="U55" s="121" t="e">
        <f t="shared" si="45"/>
        <v>#REF!</v>
      </c>
      <c r="V55" s="121" t="e">
        <f t="shared" si="46"/>
        <v>#REF!</v>
      </c>
      <c r="W55" s="122" t="e">
        <f t="shared" si="47"/>
        <v>#REF!</v>
      </c>
      <c r="X55" s="38" t="e">
        <f>W55+'проезд Лизе к бюджету 2018'!L56</f>
        <v>#REF!</v>
      </c>
      <c r="Y55" s="37" t="e">
        <f>#REF!+#REF!</f>
        <v>#REF!</v>
      </c>
      <c r="Z55" s="37" t="e">
        <f t="shared" si="48"/>
        <v>#REF!</v>
      </c>
      <c r="AA55" s="249">
        <v>527503</v>
      </c>
      <c r="AB55" s="242">
        <v>159597</v>
      </c>
      <c r="AC55" s="253">
        <f t="shared" si="49"/>
        <v>687100</v>
      </c>
      <c r="AD55" s="245">
        <f t="shared" si="16"/>
        <v>417675</v>
      </c>
      <c r="AE55" s="326">
        <v>4350</v>
      </c>
      <c r="AF55" s="340">
        <v>19</v>
      </c>
      <c r="AG55" s="259">
        <v>20194.099999999999</v>
      </c>
      <c r="AH55" s="274">
        <v>24544.1</v>
      </c>
      <c r="AI55" s="337"/>
      <c r="AJ55" s="330">
        <f t="shared" si="50"/>
        <v>469769.1</v>
      </c>
      <c r="AK55" s="143">
        <f t="shared" si="51"/>
        <v>-57733.900000000023</v>
      </c>
      <c r="AL55" s="125">
        <f>AF55-'проезд Лизе к бюджету 2018'!B56</f>
        <v>15</v>
      </c>
      <c r="AM55" s="200">
        <f>148087</f>
        <v>148087</v>
      </c>
      <c r="AN55" s="200">
        <f t="shared" si="28"/>
        <v>-159597</v>
      </c>
      <c r="AO55" s="306">
        <f>SUM(AM55:AN55)</f>
        <v>-11510</v>
      </c>
      <c r="AP55" s="311">
        <f t="shared" si="52"/>
        <v>148100</v>
      </c>
      <c r="AQ55" s="311">
        <f t="shared" si="53"/>
        <v>-159597</v>
      </c>
      <c r="AR55" s="312">
        <f t="shared" si="54"/>
        <v>-11497</v>
      </c>
      <c r="AS55" s="312">
        <f t="shared" si="30"/>
        <v>-11497</v>
      </c>
      <c r="AT55" s="317"/>
      <c r="AU55">
        <v>-185</v>
      </c>
      <c r="AW55" s="279">
        <f>AC55+AO55</f>
        <v>675590</v>
      </c>
      <c r="AX55" s="280">
        <f t="shared" si="31"/>
        <v>417675</v>
      </c>
      <c r="AY55" s="353">
        <f t="shared" si="56"/>
        <v>257915</v>
      </c>
      <c r="AZ55" s="296">
        <f t="shared" si="57"/>
        <v>14.822701149425287</v>
      </c>
      <c r="BA55" s="349">
        <v>178</v>
      </c>
      <c r="BB55" s="292">
        <v>1450</v>
      </c>
      <c r="BC55" s="303">
        <f t="shared" si="58"/>
        <v>258100</v>
      </c>
      <c r="BD55" s="347">
        <f t="shared" si="59"/>
        <v>-185</v>
      </c>
      <c r="BE55" s="271">
        <f t="shared" si="60"/>
        <v>-0.12758620689655173</v>
      </c>
      <c r="BG55" s="37">
        <f>AX55+BC55</f>
        <v>675775</v>
      </c>
      <c r="BH55" s="37"/>
    </row>
    <row r="56" spans="1:60" x14ac:dyDescent="0.3">
      <c r="A56" s="21" t="s">
        <v>50</v>
      </c>
      <c r="B56" s="269">
        <v>639</v>
      </c>
      <c r="C56" s="95">
        <v>0</v>
      </c>
      <c r="D56" s="116">
        <v>67</v>
      </c>
      <c r="E56" s="175">
        <v>67</v>
      </c>
      <c r="F56" s="103">
        <f t="shared" si="35"/>
        <v>0</v>
      </c>
      <c r="G56" s="113">
        <v>10</v>
      </c>
      <c r="H56" s="110">
        <v>15</v>
      </c>
      <c r="I56" s="105">
        <f t="shared" si="36"/>
        <v>5</v>
      </c>
      <c r="J56" s="22">
        <f t="shared" si="37"/>
        <v>14</v>
      </c>
      <c r="K56" s="170">
        <f t="shared" si="38"/>
        <v>14</v>
      </c>
      <c r="L56" s="169">
        <f t="shared" si="39"/>
        <v>-1</v>
      </c>
      <c r="M56" s="126">
        <f t="shared" si="61"/>
        <v>14</v>
      </c>
      <c r="N56" s="27">
        <v>10</v>
      </c>
      <c r="O56" s="119">
        <f t="shared" si="40"/>
        <v>278450</v>
      </c>
      <c r="P56" s="119">
        <f t="shared" si="41"/>
        <v>84091.9</v>
      </c>
      <c r="Q56" s="119">
        <f t="shared" si="42"/>
        <v>362541.9</v>
      </c>
      <c r="R56" s="24">
        <f t="shared" si="43"/>
        <v>1.4749262536873156E-2</v>
      </c>
      <c r="S56" s="120" t="e">
        <f>ROUND(R56*#REF!,0)</f>
        <v>#REF!</v>
      </c>
      <c r="T56" s="121" t="e">
        <f t="shared" si="44"/>
        <v>#REF!</v>
      </c>
      <c r="U56" s="121" t="e">
        <f t="shared" si="45"/>
        <v>#REF!</v>
      </c>
      <c r="V56" s="121" t="e">
        <f t="shared" si="46"/>
        <v>#REF!</v>
      </c>
      <c r="W56" s="122" t="e">
        <f t="shared" si="47"/>
        <v>#REF!</v>
      </c>
      <c r="X56" s="38" t="e">
        <f>W56+'проезд Лизе к бюджету 2018'!L57</f>
        <v>#REF!</v>
      </c>
      <c r="Y56" s="37" t="e">
        <f>#REF!+#REF!</f>
        <v>#REF!</v>
      </c>
      <c r="Z56" s="37" t="e">
        <f t="shared" si="48"/>
        <v>#REF!</v>
      </c>
      <c r="AA56" s="249">
        <v>306295</v>
      </c>
      <c r="AB56" s="242">
        <v>92605</v>
      </c>
      <c r="AC56" s="253">
        <f t="shared" si="49"/>
        <v>398900</v>
      </c>
      <c r="AD56" s="245">
        <f t="shared" si="16"/>
        <v>389830</v>
      </c>
      <c r="AE56" s="326"/>
      <c r="AF56" s="339">
        <v>0</v>
      </c>
      <c r="AG56" s="259"/>
      <c r="AH56" s="274"/>
      <c r="AI56" s="337"/>
      <c r="AJ56" s="330">
        <f t="shared" si="50"/>
        <v>389830</v>
      </c>
      <c r="AK56" s="143">
        <f t="shared" si="51"/>
        <v>83535</v>
      </c>
      <c r="AL56" s="125">
        <f>AF56-'проезд Лизе к бюджету 2018'!B57</f>
        <v>0</v>
      </c>
      <c r="AM56" s="200">
        <f t="shared" si="27"/>
        <v>83535</v>
      </c>
      <c r="AN56" s="200">
        <f t="shared" si="28"/>
        <v>-92605</v>
      </c>
      <c r="AO56" s="200">
        <f t="shared" si="29"/>
        <v>-9070</v>
      </c>
      <c r="AP56" s="311">
        <f t="shared" si="52"/>
        <v>83600</v>
      </c>
      <c r="AQ56" s="311">
        <f t="shared" si="53"/>
        <v>-92605</v>
      </c>
      <c r="AR56" s="312">
        <f t="shared" si="54"/>
        <v>-9005</v>
      </c>
      <c r="AS56" s="312">
        <f t="shared" si="30"/>
        <v>-9005</v>
      </c>
      <c r="AT56" s="317"/>
      <c r="AU56">
        <v>0</v>
      </c>
      <c r="AW56" s="279">
        <f>AC56+AO56</f>
        <v>389830</v>
      </c>
      <c r="AX56" s="280">
        <f t="shared" si="31"/>
        <v>389830</v>
      </c>
      <c r="AY56" s="285">
        <f t="shared" si="56"/>
        <v>0</v>
      </c>
      <c r="AZ56" s="296">
        <f t="shared" si="57"/>
        <v>0</v>
      </c>
      <c r="BA56" s="349">
        <f>ROUND(AZ56,0)*12</f>
        <v>0</v>
      </c>
      <c r="BB56" s="292">
        <v>1450</v>
      </c>
      <c r="BC56" s="303">
        <f t="shared" si="58"/>
        <v>0</v>
      </c>
      <c r="BD56" s="298">
        <f t="shared" si="59"/>
        <v>0</v>
      </c>
      <c r="BE56" s="271">
        <f t="shared" si="60"/>
        <v>0</v>
      </c>
      <c r="BG56" s="37">
        <f t="shared" si="33"/>
        <v>389830</v>
      </c>
    </row>
    <row r="57" spans="1:60" x14ac:dyDescent="0.3">
      <c r="A57" s="21" t="s">
        <v>59</v>
      </c>
      <c r="B57" s="132">
        <v>641</v>
      </c>
      <c r="C57" s="95">
        <v>0</v>
      </c>
      <c r="D57" s="116">
        <v>60</v>
      </c>
      <c r="E57" s="117">
        <v>60</v>
      </c>
      <c r="F57" s="103">
        <f t="shared" si="35"/>
        <v>0</v>
      </c>
      <c r="G57" s="113">
        <v>11</v>
      </c>
      <c r="H57" s="110">
        <v>11</v>
      </c>
      <c r="I57" s="105">
        <f t="shared" si="36"/>
        <v>0</v>
      </c>
      <c r="J57" s="22">
        <f t="shared" si="37"/>
        <v>12</v>
      </c>
      <c r="K57" s="99">
        <f t="shared" si="38"/>
        <v>12</v>
      </c>
      <c r="L57" s="169">
        <f t="shared" si="39"/>
        <v>1</v>
      </c>
      <c r="M57" s="126">
        <f t="shared" si="61"/>
        <v>11</v>
      </c>
      <c r="N57" s="27">
        <v>11</v>
      </c>
      <c r="O57" s="119">
        <f t="shared" si="40"/>
        <v>306295</v>
      </c>
      <c r="P57" s="119">
        <f t="shared" si="41"/>
        <v>92501.09</v>
      </c>
      <c r="Q57" s="119">
        <f t="shared" si="42"/>
        <v>398796.08999999997</v>
      </c>
      <c r="R57" s="24">
        <f t="shared" si="43"/>
        <v>1.6224188790560472E-2</v>
      </c>
      <c r="S57" s="120" t="e">
        <f>ROUND(R57*#REF!,0)</f>
        <v>#REF!</v>
      </c>
      <c r="T57" s="121" t="e">
        <f t="shared" si="44"/>
        <v>#REF!</v>
      </c>
      <c r="U57" s="121" t="e">
        <f t="shared" si="45"/>
        <v>#REF!</v>
      </c>
      <c r="V57" s="121" t="e">
        <f t="shared" si="46"/>
        <v>#REF!</v>
      </c>
      <c r="W57" s="122" t="e">
        <f t="shared" si="47"/>
        <v>#REF!</v>
      </c>
      <c r="X57" s="38" t="e">
        <f>W57+'проезд Лизе к бюджету 2018'!L58</f>
        <v>#REF!</v>
      </c>
      <c r="Y57" s="37" t="e">
        <f>#REF!+#REF!</f>
        <v>#REF!</v>
      </c>
      <c r="Z57" s="37" t="e">
        <f t="shared" si="48"/>
        <v>#REF!</v>
      </c>
      <c r="AA57" s="249">
        <v>241360</v>
      </c>
      <c r="AB57" s="242">
        <v>73040</v>
      </c>
      <c r="AC57" s="253">
        <f t="shared" si="49"/>
        <v>314400</v>
      </c>
      <c r="AD57" s="245">
        <f t="shared" si="16"/>
        <v>306295</v>
      </c>
      <c r="AE57" s="326">
        <v>1450</v>
      </c>
      <c r="AF57" s="340">
        <v>8</v>
      </c>
      <c r="AG57" s="259">
        <v>5707.9</v>
      </c>
      <c r="AH57" s="274">
        <v>7157.9</v>
      </c>
      <c r="AI57" s="337"/>
      <c r="AJ57" s="330">
        <f t="shared" si="50"/>
        <v>325052.90000000002</v>
      </c>
      <c r="AK57" s="143">
        <f t="shared" si="51"/>
        <v>83692.900000000023</v>
      </c>
      <c r="AL57" s="125">
        <f>AF57-'проезд Лизе к бюджету 2018'!B58</f>
        <v>6</v>
      </c>
      <c r="AM57" s="200">
        <f t="shared" si="27"/>
        <v>83785</v>
      </c>
      <c r="AN57" s="200">
        <f t="shared" si="28"/>
        <v>-73040</v>
      </c>
      <c r="AO57" s="200">
        <f t="shared" si="29"/>
        <v>10745</v>
      </c>
      <c r="AP57" s="311">
        <f t="shared" si="52"/>
        <v>83800</v>
      </c>
      <c r="AQ57" s="311">
        <f t="shared" si="53"/>
        <v>-73040</v>
      </c>
      <c r="AR57" s="312">
        <f t="shared" si="54"/>
        <v>10760</v>
      </c>
      <c r="AS57" s="312">
        <f t="shared" si="30"/>
        <v>10760</v>
      </c>
      <c r="AT57" s="317"/>
      <c r="AU57">
        <v>-92.099999999976717</v>
      </c>
      <c r="AW57" s="279">
        <f t="shared" ref="AW57:AW75" si="62">AC57+AO57</f>
        <v>325145</v>
      </c>
      <c r="AX57" s="280">
        <f t="shared" si="31"/>
        <v>306295</v>
      </c>
      <c r="AY57" s="285">
        <f t="shared" si="56"/>
        <v>18850</v>
      </c>
      <c r="AZ57" s="296">
        <f t="shared" si="57"/>
        <v>1.0833333333333333</v>
      </c>
      <c r="BA57" s="349">
        <f>ROUND(AZ57,0)*12+1</f>
        <v>13</v>
      </c>
      <c r="BB57" s="292">
        <v>1450</v>
      </c>
      <c r="BC57" s="303">
        <f t="shared" si="58"/>
        <v>18850</v>
      </c>
      <c r="BD57" s="298">
        <f t="shared" si="59"/>
        <v>0</v>
      </c>
      <c r="BE57" s="271">
        <f t="shared" si="60"/>
        <v>0</v>
      </c>
      <c r="BG57" s="37">
        <f t="shared" si="33"/>
        <v>325145</v>
      </c>
    </row>
    <row r="58" spans="1:60" x14ac:dyDescent="0.3">
      <c r="A58" s="21" t="s">
        <v>51</v>
      </c>
      <c r="B58" s="132">
        <v>667</v>
      </c>
      <c r="C58" s="95">
        <v>0</v>
      </c>
      <c r="D58" s="116">
        <v>78</v>
      </c>
      <c r="E58" s="117">
        <v>78</v>
      </c>
      <c r="F58" s="103">
        <f t="shared" si="35"/>
        <v>0</v>
      </c>
      <c r="G58" s="113">
        <v>16</v>
      </c>
      <c r="H58" s="110">
        <v>16</v>
      </c>
      <c r="I58" s="105">
        <f t="shared" si="36"/>
        <v>0</v>
      </c>
      <c r="J58" s="22">
        <f t="shared" si="37"/>
        <v>16</v>
      </c>
      <c r="K58" s="99">
        <f t="shared" si="38"/>
        <v>16</v>
      </c>
      <c r="L58" s="169">
        <f t="shared" si="39"/>
        <v>0</v>
      </c>
      <c r="M58" s="126">
        <f t="shared" si="61"/>
        <v>16</v>
      </c>
      <c r="N58" s="27">
        <v>16</v>
      </c>
      <c r="O58" s="119">
        <f t="shared" si="40"/>
        <v>445520</v>
      </c>
      <c r="P58" s="119">
        <f t="shared" si="41"/>
        <v>134547.04</v>
      </c>
      <c r="Q58" s="119">
        <f t="shared" si="42"/>
        <v>580067.04</v>
      </c>
      <c r="R58" s="24">
        <f t="shared" si="43"/>
        <v>2.359882005899705E-2</v>
      </c>
      <c r="S58" s="120" t="e">
        <f>ROUND(R58*#REF!,0)</f>
        <v>#REF!</v>
      </c>
      <c r="T58" s="121" t="e">
        <f t="shared" si="44"/>
        <v>#REF!</v>
      </c>
      <c r="U58" s="121" t="e">
        <f t="shared" si="45"/>
        <v>#REF!</v>
      </c>
      <c r="V58" s="121" t="e">
        <f t="shared" si="46"/>
        <v>#REF!</v>
      </c>
      <c r="W58" s="122" t="e">
        <f t="shared" si="47"/>
        <v>#REF!</v>
      </c>
      <c r="X58" s="38" t="e">
        <f>W58+'проезд Лизе к бюджету 2018'!L59</f>
        <v>#REF!</v>
      </c>
      <c r="Y58" s="37" t="e">
        <f>#REF!+#REF!</f>
        <v>#REF!</v>
      </c>
      <c r="Z58" s="37" t="e">
        <f t="shared" si="48"/>
        <v>#REF!</v>
      </c>
      <c r="AA58" s="249">
        <v>371340</v>
      </c>
      <c r="AB58" s="242">
        <v>105460</v>
      </c>
      <c r="AC58" s="253">
        <f t="shared" si="49"/>
        <v>476800</v>
      </c>
      <c r="AD58" s="245">
        <f t="shared" si="16"/>
        <v>445520</v>
      </c>
      <c r="AE58" s="326">
        <v>2900</v>
      </c>
      <c r="AF58" s="340">
        <v>8</v>
      </c>
      <c r="AG58" s="259">
        <v>11478.3</v>
      </c>
      <c r="AH58" s="274">
        <v>14378.3</v>
      </c>
      <c r="AI58" s="337"/>
      <c r="AJ58" s="330">
        <f t="shared" si="50"/>
        <v>471498.3</v>
      </c>
      <c r="AK58" s="143">
        <f t="shared" si="51"/>
        <v>100158.29999999999</v>
      </c>
      <c r="AL58" s="125">
        <f>AF58-'проезд Лизе к бюджету 2018'!B59</f>
        <v>6</v>
      </c>
      <c r="AM58" s="200">
        <f t="shared" si="27"/>
        <v>100280</v>
      </c>
      <c r="AN58" s="200">
        <f t="shared" si="28"/>
        <v>-105460</v>
      </c>
      <c r="AO58" s="200">
        <f t="shared" si="29"/>
        <v>-5180</v>
      </c>
      <c r="AP58" s="311">
        <f t="shared" si="52"/>
        <v>100300</v>
      </c>
      <c r="AQ58" s="311">
        <f t="shared" si="53"/>
        <v>-105460</v>
      </c>
      <c r="AR58" s="312">
        <f t="shared" si="54"/>
        <v>-5160</v>
      </c>
      <c r="AS58" s="312">
        <f t="shared" si="30"/>
        <v>-5160</v>
      </c>
      <c r="AT58" s="317"/>
      <c r="AU58">
        <v>-121.70000000001164</v>
      </c>
      <c r="AW58" s="279">
        <f t="shared" si="62"/>
        <v>471620</v>
      </c>
      <c r="AX58" s="280">
        <f t="shared" si="31"/>
        <v>445520</v>
      </c>
      <c r="AY58" s="285">
        <f t="shared" si="56"/>
        <v>26100</v>
      </c>
      <c r="AZ58" s="296">
        <f t="shared" si="57"/>
        <v>1.5</v>
      </c>
      <c r="BA58" s="349">
        <v>18</v>
      </c>
      <c r="BB58" s="292">
        <v>1450</v>
      </c>
      <c r="BC58" s="303">
        <f t="shared" si="58"/>
        <v>26100</v>
      </c>
      <c r="BD58" s="298">
        <f t="shared" si="59"/>
        <v>0</v>
      </c>
      <c r="BE58" s="271">
        <f t="shared" si="60"/>
        <v>0</v>
      </c>
      <c r="BG58" s="37">
        <f t="shared" si="33"/>
        <v>471620</v>
      </c>
    </row>
    <row r="59" spans="1:60" x14ac:dyDescent="0.3">
      <c r="A59" s="29" t="s">
        <v>62</v>
      </c>
      <c r="B59" s="132">
        <v>689</v>
      </c>
      <c r="C59" s="95">
        <v>2</v>
      </c>
      <c r="D59" s="116">
        <v>23</v>
      </c>
      <c r="E59" s="117">
        <v>23</v>
      </c>
      <c r="F59" s="103">
        <f t="shared" si="35"/>
        <v>0</v>
      </c>
      <c r="G59" s="113">
        <v>2</v>
      </c>
      <c r="H59" s="173">
        <v>6</v>
      </c>
      <c r="I59" s="105">
        <f t="shared" si="36"/>
        <v>4</v>
      </c>
      <c r="J59" s="22">
        <f>ROUNDUP(D59/5,0)</f>
        <v>5</v>
      </c>
      <c r="K59" s="170">
        <v>6</v>
      </c>
      <c r="L59" s="169">
        <f t="shared" si="39"/>
        <v>0</v>
      </c>
      <c r="M59" s="126">
        <f t="shared" si="61"/>
        <v>6</v>
      </c>
      <c r="N59" s="25">
        <v>2</v>
      </c>
      <c r="O59" s="119">
        <f t="shared" si="40"/>
        <v>55690</v>
      </c>
      <c r="P59" s="119">
        <f t="shared" si="41"/>
        <v>16818.38</v>
      </c>
      <c r="Q59" s="119">
        <f t="shared" si="42"/>
        <v>72508.38</v>
      </c>
      <c r="R59" s="24">
        <f t="shared" si="43"/>
        <v>2.9498525073746312E-3</v>
      </c>
      <c r="S59" s="120" t="e">
        <f>ROUND(R59*#REF!,0)</f>
        <v>#REF!</v>
      </c>
      <c r="T59" s="121" t="e">
        <f t="shared" si="44"/>
        <v>#REF!</v>
      </c>
      <c r="U59" s="121" t="e">
        <f t="shared" si="45"/>
        <v>#REF!</v>
      </c>
      <c r="V59" s="121" t="e">
        <f t="shared" si="46"/>
        <v>#REF!</v>
      </c>
      <c r="W59" s="122" t="e">
        <f t="shared" si="47"/>
        <v>#REF!</v>
      </c>
      <c r="X59" s="38" t="e">
        <f>W59+'проезд Лизе к бюджету 2018'!L60</f>
        <v>#REF!</v>
      </c>
      <c r="Y59" s="37" t="e">
        <f>#REF!+#REF!</f>
        <v>#REF!</v>
      </c>
      <c r="Z59" s="37" t="e">
        <f t="shared" si="48"/>
        <v>#REF!</v>
      </c>
      <c r="AA59" s="249">
        <v>148580</v>
      </c>
      <c r="AB59" s="242">
        <v>45020</v>
      </c>
      <c r="AC59" s="253">
        <f t="shared" si="49"/>
        <v>193600</v>
      </c>
      <c r="AD59" s="245">
        <f>$K$2*M59</f>
        <v>167070</v>
      </c>
      <c r="AE59" s="326">
        <v>2900</v>
      </c>
      <c r="AF59" s="340">
        <v>4</v>
      </c>
      <c r="AG59" s="259">
        <v>11520.4</v>
      </c>
      <c r="AH59" s="274">
        <v>14420.4</v>
      </c>
      <c r="AI59" s="337"/>
      <c r="AJ59" s="330">
        <f>(1450*AF59)+AD59+AH59</f>
        <v>187290.4</v>
      </c>
      <c r="AK59" s="143">
        <f t="shared" si="51"/>
        <v>38710.399999999994</v>
      </c>
      <c r="AL59" s="125">
        <f>AF59-'проезд Лизе к бюджету 2018'!B60</f>
        <v>3</v>
      </c>
      <c r="AM59" s="200">
        <f t="shared" si="27"/>
        <v>38790</v>
      </c>
      <c r="AN59" s="200">
        <f t="shared" si="28"/>
        <v>-45020</v>
      </c>
      <c r="AO59" s="200">
        <f t="shared" si="29"/>
        <v>-6230</v>
      </c>
      <c r="AP59" s="311">
        <f t="shared" si="52"/>
        <v>38800.000000000007</v>
      </c>
      <c r="AQ59" s="311">
        <f t="shared" si="53"/>
        <v>-45020</v>
      </c>
      <c r="AR59" s="312">
        <f t="shared" si="54"/>
        <v>-6219.9999999999927</v>
      </c>
      <c r="AS59" s="312">
        <f t="shared" si="30"/>
        <v>-6219.9999999999927</v>
      </c>
      <c r="AT59" s="317"/>
      <c r="AU59">
        <v>-79.600000000005821</v>
      </c>
      <c r="AW59" s="279">
        <f>AC59+AO59</f>
        <v>187370</v>
      </c>
      <c r="AX59" s="280">
        <f t="shared" si="31"/>
        <v>167070</v>
      </c>
      <c r="AY59" s="285">
        <f>AW59-AX59</f>
        <v>20300</v>
      </c>
      <c r="AZ59" s="296">
        <f t="shared" si="57"/>
        <v>1.1666666666666667</v>
      </c>
      <c r="BA59" s="349">
        <f>ROUND(AZ59,0)*12+2</f>
        <v>14</v>
      </c>
      <c r="BB59" s="292">
        <v>1450</v>
      </c>
      <c r="BC59" s="303">
        <f>BA59*BB59</f>
        <v>20300</v>
      </c>
      <c r="BD59" s="298">
        <f t="shared" si="59"/>
        <v>0</v>
      </c>
      <c r="BE59" s="271">
        <f t="shared" si="60"/>
        <v>0</v>
      </c>
      <c r="BG59" s="37">
        <f>AX59+BC59</f>
        <v>187370</v>
      </c>
    </row>
    <row r="60" spans="1:60" x14ac:dyDescent="0.3">
      <c r="A60" s="21" t="s">
        <v>144</v>
      </c>
      <c r="B60" s="132">
        <v>690</v>
      </c>
      <c r="C60" s="95">
        <v>4</v>
      </c>
      <c r="D60" s="106">
        <v>46</v>
      </c>
      <c r="E60" s="101">
        <v>46</v>
      </c>
      <c r="F60" s="103">
        <f t="shared" si="35"/>
        <v>0</v>
      </c>
      <c r="G60" s="111">
        <v>33</v>
      </c>
      <c r="H60" s="104">
        <v>33</v>
      </c>
      <c r="I60" s="105">
        <f t="shared" si="36"/>
        <v>0</v>
      </c>
      <c r="J60" s="22">
        <f>ROUNDUP(D60/5,0)</f>
        <v>10</v>
      </c>
      <c r="K60" s="170">
        <f>ROUNDUP(E60/5,0)</f>
        <v>10</v>
      </c>
      <c r="L60" s="171">
        <f t="shared" si="39"/>
        <v>-23</v>
      </c>
      <c r="M60" s="126">
        <f t="shared" si="61"/>
        <v>10</v>
      </c>
      <c r="N60" s="25">
        <v>10</v>
      </c>
      <c r="O60" s="119">
        <f t="shared" si="40"/>
        <v>278450</v>
      </c>
      <c r="P60" s="119">
        <f t="shared" si="41"/>
        <v>84091.9</v>
      </c>
      <c r="Q60" s="119">
        <f t="shared" si="42"/>
        <v>362541.9</v>
      </c>
      <c r="R60" s="24">
        <f t="shared" si="43"/>
        <v>1.4749262536873156E-2</v>
      </c>
      <c r="S60" s="120" t="e">
        <f>ROUND(R60*#REF!,0)</f>
        <v>#REF!</v>
      </c>
      <c r="T60" s="121" t="e">
        <f t="shared" si="44"/>
        <v>#REF!</v>
      </c>
      <c r="U60" s="121" t="e">
        <f t="shared" si="45"/>
        <v>#REF!</v>
      </c>
      <c r="V60" s="121" t="e">
        <f t="shared" si="46"/>
        <v>#REF!</v>
      </c>
      <c r="W60" s="122" t="e">
        <f t="shared" si="47"/>
        <v>#REF!</v>
      </c>
      <c r="X60" s="38" t="e">
        <f>W60+'проезд Лизе к бюджету 2018'!L61</f>
        <v>#REF!</v>
      </c>
      <c r="Y60" s="37" t="e">
        <f>#REF!+#REF!</f>
        <v>#REF!</v>
      </c>
      <c r="Z60" s="37" t="e">
        <f t="shared" si="48"/>
        <v>#REF!</v>
      </c>
      <c r="AA60" s="249">
        <v>269315</v>
      </c>
      <c r="AB60" s="242">
        <v>81485</v>
      </c>
      <c r="AC60" s="253">
        <f t="shared" si="49"/>
        <v>350800</v>
      </c>
      <c r="AD60" s="245">
        <f>$K$2*M60</f>
        <v>278450</v>
      </c>
      <c r="AE60" s="326">
        <v>4350</v>
      </c>
      <c r="AF60" s="340">
        <v>24</v>
      </c>
      <c r="AG60" s="259">
        <v>20222.900000000001</v>
      </c>
      <c r="AH60" s="274">
        <v>24572.9</v>
      </c>
      <c r="AI60" s="337"/>
      <c r="AJ60" s="330">
        <f t="shared" si="50"/>
        <v>337822.9</v>
      </c>
      <c r="AK60" s="143">
        <f t="shared" si="51"/>
        <v>68507.900000000023</v>
      </c>
      <c r="AL60" s="125">
        <f>AF60-'проезд Лизе к бюджету 2018'!B61</f>
        <v>23</v>
      </c>
      <c r="AM60" s="200">
        <f t="shared" si="27"/>
        <v>68585</v>
      </c>
      <c r="AN60" s="200">
        <f t="shared" si="28"/>
        <v>-81485</v>
      </c>
      <c r="AO60" s="200">
        <f t="shared" si="29"/>
        <v>-12900</v>
      </c>
      <c r="AP60" s="311">
        <f t="shared" si="52"/>
        <v>68600</v>
      </c>
      <c r="AQ60" s="311">
        <f t="shared" si="53"/>
        <v>-81485</v>
      </c>
      <c r="AR60" s="312">
        <f t="shared" si="54"/>
        <v>-12885</v>
      </c>
      <c r="AS60" s="312">
        <f t="shared" si="30"/>
        <v>-12885</v>
      </c>
      <c r="AT60" s="317"/>
      <c r="AU60">
        <v>-77.099999999976717</v>
      </c>
      <c r="AW60" s="279">
        <f t="shared" si="62"/>
        <v>337900</v>
      </c>
      <c r="AX60" s="280">
        <f t="shared" si="31"/>
        <v>278450</v>
      </c>
      <c r="AY60" s="285">
        <f t="shared" si="56"/>
        <v>59450</v>
      </c>
      <c r="AZ60" s="296">
        <f t="shared" si="57"/>
        <v>3.4166666666666665</v>
      </c>
      <c r="BA60" s="349">
        <f>ROUND(AZ60,0)*12+5</f>
        <v>41</v>
      </c>
      <c r="BB60" s="292">
        <v>1450</v>
      </c>
      <c r="BC60" s="303">
        <f t="shared" si="58"/>
        <v>59450</v>
      </c>
      <c r="BD60" s="298">
        <f t="shared" si="59"/>
        <v>0</v>
      </c>
      <c r="BE60" s="271">
        <f t="shared" si="60"/>
        <v>0</v>
      </c>
      <c r="BG60" s="37">
        <f t="shared" si="33"/>
        <v>337900</v>
      </c>
    </row>
    <row r="61" spans="1:60" x14ac:dyDescent="0.3">
      <c r="A61" s="21" t="s">
        <v>145</v>
      </c>
      <c r="B61" s="132">
        <v>691</v>
      </c>
      <c r="C61" s="95"/>
      <c r="D61" s="106"/>
      <c r="E61" s="106"/>
      <c r="F61" s="103">
        <f t="shared" si="35"/>
        <v>0</v>
      </c>
      <c r="G61" s="111"/>
      <c r="H61" s="111"/>
      <c r="I61" s="105">
        <f t="shared" si="36"/>
        <v>0</v>
      </c>
      <c r="J61" s="22"/>
      <c r="K61" s="99"/>
      <c r="L61" s="169">
        <f t="shared" si="39"/>
        <v>0</v>
      </c>
      <c r="M61" s="126">
        <f t="shared" si="61"/>
        <v>0</v>
      </c>
      <c r="N61" s="25"/>
      <c r="O61" s="119"/>
      <c r="P61" s="119"/>
      <c r="Q61" s="119"/>
      <c r="R61" s="24"/>
      <c r="S61" s="120"/>
      <c r="T61" s="121"/>
      <c r="U61" s="121"/>
      <c r="V61" s="121"/>
      <c r="W61" s="122"/>
      <c r="X61" s="38"/>
      <c r="Y61" s="37"/>
      <c r="Z61" s="37"/>
      <c r="AA61" s="249"/>
      <c r="AB61" s="242"/>
      <c r="AC61" s="253"/>
      <c r="AD61" s="245">
        <f t="shared" si="16"/>
        <v>0</v>
      </c>
      <c r="AE61" s="326"/>
      <c r="AF61" s="340">
        <v>0</v>
      </c>
      <c r="AG61" s="259"/>
      <c r="AH61" s="276"/>
      <c r="AI61" s="342"/>
      <c r="AJ61" s="330">
        <f t="shared" si="50"/>
        <v>0</v>
      </c>
      <c r="AK61" s="143">
        <f t="shared" si="51"/>
        <v>0</v>
      </c>
      <c r="AL61" s="125">
        <f>AF61-'проезд Лизе к бюджету 2018'!B62</f>
        <v>0</v>
      </c>
      <c r="AM61" s="200">
        <f t="shared" si="27"/>
        <v>0</v>
      </c>
      <c r="AN61" s="200">
        <f>-AB61+AI61</f>
        <v>0</v>
      </c>
      <c r="AO61" s="200">
        <f t="shared" si="29"/>
        <v>0</v>
      </c>
      <c r="AP61" s="311">
        <f t="shared" si="52"/>
        <v>0</v>
      </c>
      <c r="AQ61" s="311">
        <f t="shared" si="53"/>
        <v>0</v>
      </c>
      <c r="AR61" s="312">
        <f t="shared" si="54"/>
        <v>0</v>
      </c>
      <c r="AS61" s="312">
        <f t="shared" si="30"/>
        <v>0</v>
      </c>
      <c r="AT61" s="317"/>
      <c r="AU61">
        <v>0</v>
      </c>
      <c r="AW61" s="279">
        <f t="shared" si="62"/>
        <v>0</v>
      </c>
      <c r="AX61" s="280">
        <f t="shared" si="31"/>
        <v>0</v>
      </c>
      <c r="AY61" s="285">
        <f t="shared" si="56"/>
        <v>0</v>
      </c>
      <c r="AZ61" s="296">
        <f t="shared" si="57"/>
        <v>0</v>
      </c>
      <c r="BA61" s="349">
        <f>ROUND(AZ61,0)*12</f>
        <v>0</v>
      </c>
      <c r="BB61" s="292">
        <v>1450</v>
      </c>
      <c r="BC61" s="303">
        <f t="shared" si="58"/>
        <v>0</v>
      </c>
      <c r="BD61" s="298">
        <f t="shared" si="59"/>
        <v>0</v>
      </c>
      <c r="BE61" s="271">
        <f t="shared" si="60"/>
        <v>0</v>
      </c>
      <c r="BG61" s="37">
        <f t="shared" si="33"/>
        <v>0</v>
      </c>
    </row>
    <row r="62" spans="1:60" x14ac:dyDescent="0.3">
      <c r="A62" s="21" t="s">
        <v>55</v>
      </c>
      <c r="B62" s="134" t="s">
        <v>93</v>
      </c>
      <c r="C62" s="95">
        <v>1</v>
      </c>
      <c r="D62" s="106">
        <v>29</v>
      </c>
      <c r="E62" s="101">
        <v>28</v>
      </c>
      <c r="F62" s="103">
        <f t="shared" si="35"/>
        <v>-1</v>
      </c>
      <c r="G62" s="111">
        <v>5</v>
      </c>
      <c r="H62" s="104">
        <v>6</v>
      </c>
      <c r="I62" s="105">
        <f t="shared" si="36"/>
        <v>1</v>
      </c>
      <c r="J62" s="22">
        <f t="shared" ref="J62:K68" si="63">ROUNDUP(D62/5,0)</f>
        <v>6</v>
      </c>
      <c r="K62" s="99">
        <f t="shared" si="63"/>
        <v>6</v>
      </c>
      <c r="L62" s="169">
        <f t="shared" si="39"/>
        <v>0</v>
      </c>
      <c r="M62" s="126">
        <f t="shared" si="61"/>
        <v>6</v>
      </c>
      <c r="N62" s="25">
        <v>5</v>
      </c>
      <c r="O62" s="119">
        <f t="shared" ref="O62:O75" si="64">N62*$J$2</f>
        <v>139225</v>
      </c>
      <c r="P62" s="119">
        <f t="shared" ref="P62:P75" si="65">O62*$P$2</f>
        <v>42045.95</v>
      </c>
      <c r="Q62" s="119">
        <f t="shared" ref="Q62:Q75" si="66">O62+P62</f>
        <v>181270.95</v>
      </c>
      <c r="R62" s="24">
        <f t="shared" ref="R62:R75" si="67">N62/$N$76</f>
        <v>7.3746312684365781E-3</v>
      </c>
      <c r="S62" s="120" t="e">
        <f>ROUND(R62*#REF!,0)</f>
        <v>#REF!</v>
      </c>
      <c r="T62" s="121" t="e">
        <f t="shared" ref="T62:T75" si="68">S62*$J$2</f>
        <v>#REF!</v>
      </c>
      <c r="U62" s="121" t="e">
        <f t="shared" ref="U62:U75" si="69">ROUND(T62*$P$2,2)</f>
        <v>#REF!</v>
      </c>
      <c r="V62" s="121" t="e">
        <f t="shared" ref="V62:V75" si="70">T62+U62</f>
        <v>#REF!</v>
      </c>
      <c r="W62" s="122" t="e">
        <f t="shared" ref="W62:W75" si="71">IF(V62&gt;=-99,IF(V62&gt;0,ROUNDUP(V62/1000,1),0),ROUNDDOWN(V62/1000,1))*1000</f>
        <v>#REF!</v>
      </c>
      <c r="X62" s="38" t="e">
        <f>W62+'проезд Лизе к бюджету 2018'!L62</f>
        <v>#REF!</v>
      </c>
      <c r="Y62" s="37" t="e">
        <f>#REF!+#REF!</f>
        <v>#REF!</v>
      </c>
      <c r="Z62" s="37" t="e">
        <f t="shared" ref="Z62:Z75" si="72">X62-Y62</f>
        <v>#REF!</v>
      </c>
      <c r="AA62" s="249">
        <v>139225</v>
      </c>
      <c r="AB62" s="242">
        <v>42175</v>
      </c>
      <c r="AC62" s="253">
        <f>AA62+AB62</f>
        <v>181400</v>
      </c>
      <c r="AD62" s="245">
        <f t="shared" si="16"/>
        <v>167070</v>
      </c>
      <c r="AE62" s="326"/>
      <c r="AF62" s="336">
        <f>ROUND(AE62/1450,0)</f>
        <v>0</v>
      </c>
      <c r="AG62" s="260"/>
      <c r="AH62" s="276"/>
      <c r="AI62" s="342"/>
      <c r="AJ62" s="330">
        <f t="shared" si="50"/>
        <v>167070</v>
      </c>
      <c r="AK62" s="143">
        <f t="shared" si="51"/>
        <v>27845</v>
      </c>
      <c r="AL62" s="125">
        <f>AF62-'проезд Лизе к бюджету 2018'!B63</f>
        <v>-6</v>
      </c>
      <c r="AM62" s="200">
        <f t="shared" si="27"/>
        <v>27845</v>
      </c>
      <c r="AN62" s="200">
        <f t="shared" si="28"/>
        <v>-42175</v>
      </c>
      <c r="AO62" s="200">
        <f t="shared" si="29"/>
        <v>-14330</v>
      </c>
      <c r="AP62" s="311">
        <f t="shared" si="52"/>
        <v>27900.000000000004</v>
      </c>
      <c r="AQ62" s="311">
        <f t="shared" si="53"/>
        <v>-42175</v>
      </c>
      <c r="AR62" s="312">
        <f t="shared" si="54"/>
        <v>-14274.999999999996</v>
      </c>
      <c r="AS62" s="312">
        <f t="shared" si="30"/>
        <v>-14274.999999999996</v>
      </c>
      <c r="AT62" s="317"/>
      <c r="AU62">
        <v>0</v>
      </c>
      <c r="AW62" s="279">
        <f t="shared" si="62"/>
        <v>167070</v>
      </c>
      <c r="AX62" s="280">
        <f t="shared" si="31"/>
        <v>167070</v>
      </c>
      <c r="AY62" s="285">
        <f t="shared" si="56"/>
        <v>0</v>
      </c>
      <c r="AZ62" s="296">
        <f t="shared" si="57"/>
        <v>0</v>
      </c>
      <c r="BA62" s="349">
        <f>ROUND(AZ62,0)*12</f>
        <v>0</v>
      </c>
      <c r="BB62" s="292">
        <v>1450</v>
      </c>
      <c r="BC62" s="303">
        <f t="shared" si="58"/>
        <v>0</v>
      </c>
      <c r="BD62" s="298">
        <f t="shared" si="59"/>
        <v>0</v>
      </c>
      <c r="BE62" s="271">
        <f t="shared" si="60"/>
        <v>0</v>
      </c>
      <c r="BG62" s="37">
        <f t="shared" si="33"/>
        <v>167070</v>
      </c>
    </row>
    <row r="63" spans="1:60" x14ac:dyDescent="0.3">
      <c r="A63" s="21" t="s">
        <v>61</v>
      </c>
      <c r="B63" s="134" t="s">
        <v>94</v>
      </c>
      <c r="C63" s="95">
        <v>0</v>
      </c>
      <c r="D63" s="106">
        <v>35</v>
      </c>
      <c r="E63" s="101">
        <v>35</v>
      </c>
      <c r="F63" s="103">
        <f t="shared" si="35"/>
        <v>0</v>
      </c>
      <c r="G63" s="111">
        <v>7</v>
      </c>
      <c r="H63" s="104">
        <v>6</v>
      </c>
      <c r="I63" s="105">
        <f t="shared" si="36"/>
        <v>-1</v>
      </c>
      <c r="J63" s="22">
        <f t="shared" si="63"/>
        <v>7</v>
      </c>
      <c r="K63" s="99">
        <f t="shared" si="63"/>
        <v>7</v>
      </c>
      <c r="L63" s="169">
        <f t="shared" si="39"/>
        <v>1</v>
      </c>
      <c r="M63" s="126">
        <f t="shared" si="61"/>
        <v>6</v>
      </c>
      <c r="N63" s="25">
        <v>7</v>
      </c>
      <c r="O63" s="119">
        <f t="shared" si="64"/>
        <v>194915</v>
      </c>
      <c r="P63" s="119">
        <f t="shared" si="65"/>
        <v>58864.33</v>
      </c>
      <c r="Q63" s="119">
        <f t="shared" si="66"/>
        <v>253779.33000000002</v>
      </c>
      <c r="R63" s="24">
        <f t="shared" si="67"/>
        <v>1.0324483775811209E-2</v>
      </c>
      <c r="S63" s="120" t="e">
        <f>ROUND(R63*#REF!,0)</f>
        <v>#REF!</v>
      </c>
      <c r="T63" s="121" t="e">
        <f t="shared" si="68"/>
        <v>#REF!</v>
      </c>
      <c r="U63" s="121" t="e">
        <f t="shared" si="69"/>
        <v>#REF!</v>
      </c>
      <c r="V63" s="121" t="e">
        <f t="shared" si="70"/>
        <v>#REF!</v>
      </c>
      <c r="W63" s="122" t="e">
        <f t="shared" si="71"/>
        <v>#REF!</v>
      </c>
      <c r="X63" s="38" t="e">
        <f>W63+'проезд Лизе к бюджету 2018'!L63</f>
        <v>#REF!</v>
      </c>
      <c r="Y63" s="37" t="e">
        <f>#REF!+#REF!</f>
        <v>#REF!</v>
      </c>
      <c r="Z63" s="37" t="e">
        <f t="shared" si="72"/>
        <v>#REF!</v>
      </c>
      <c r="AA63" s="249">
        <v>176425</v>
      </c>
      <c r="AB63" s="242">
        <v>53475</v>
      </c>
      <c r="AC63" s="253">
        <f>AA63+AB63</f>
        <v>229900</v>
      </c>
      <c r="AD63" s="245">
        <f t="shared" si="16"/>
        <v>167070</v>
      </c>
      <c r="AE63" s="326">
        <v>2900</v>
      </c>
      <c r="AF63" s="336">
        <v>8</v>
      </c>
      <c r="AG63" s="260">
        <v>11522</v>
      </c>
      <c r="AH63" s="274">
        <v>14422</v>
      </c>
      <c r="AI63" s="337"/>
      <c r="AJ63" s="330">
        <f t="shared" si="50"/>
        <v>193092</v>
      </c>
      <c r="AK63" s="143">
        <f t="shared" si="51"/>
        <v>16667</v>
      </c>
      <c r="AL63" s="125">
        <f>AF63-'проезд Лизе к бюджету 2018'!B64</f>
        <v>7</v>
      </c>
      <c r="AM63" s="200">
        <f t="shared" si="27"/>
        <v>16745</v>
      </c>
      <c r="AN63" s="200">
        <f t="shared" si="28"/>
        <v>-53475</v>
      </c>
      <c r="AO63" s="200">
        <f t="shared" si="29"/>
        <v>-36730</v>
      </c>
      <c r="AP63" s="311">
        <f t="shared" si="52"/>
        <v>16800</v>
      </c>
      <c r="AQ63" s="311">
        <f t="shared" si="53"/>
        <v>-53475</v>
      </c>
      <c r="AR63" s="312">
        <f t="shared" si="54"/>
        <v>-36675</v>
      </c>
      <c r="AS63" s="312">
        <f t="shared" si="30"/>
        <v>-36675</v>
      </c>
      <c r="AT63" s="317"/>
      <c r="AU63">
        <v>-78</v>
      </c>
      <c r="AW63" s="279">
        <f t="shared" si="62"/>
        <v>193170</v>
      </c>
      <c r="AX63" s="280">
        <f t="shared" si="31"/>
        <v>167070</v>
      </c>
      <c r="AY63" s="285">
        <f t="shared" si="56"/>
        <v>26100</v>
      </c>
      <c r="AZ63" s="296">
        <f t="shared" si="57"/>
        <v>1.5</v>
      </c>
      <c r="BA63" s="349">
        <v>18</v>
      </c>
      <c r="BB63" s="292">
        <v>1450</v>
      </c>
      <c r="BC63" s="303">
        <f t="shared" si="58"/>
        <v>26100</v>
      </c>
      <c r="BD63" s="298">
        <f t="shared" si="59"/>
        <v>0</v>
      </c>
      <c r="BE63" s="271">
        <f t="shared" si="60"/>
        <v>0</v>
      </c>
      <c r="BG63" s="37">
        <f t="shared" si="33"/>
        <v>193170</v>
      </c>
    </row>
    <row r="64" spans="1:60" ht="16.95" customHeight="1" x14ac:dyDescent="0.3">
      <c r="A64" s="29" t="s">
        <v>95</v>
      </c>
      <c r="B64" s="134" t="s">
        <v>96</v>
      </c>
      <c r="C64" s="95">
        <v>5</v>
      </c>
      <c r="D64" s="106">
        <v>66</v>
      </c>
      <c r="E64" s="101">
        <v>64</v>
      </c>
      <c r="F64" s="103">
        <f t="shared" si="35"/>
        <v>-2</v>
      </c>
      <c r="G64" s="111">
        <v>32</v>
      </c>
      <c r="H64" s="104">
        <v>10</v>
      </c>
      <c r="I64" s="105">
        <f t="shared" si="36"/>
        <v>-22</v>
      </c>
      <c r="J64" s="22">
        <f t="shared" si="63"/>
        <v>14</v>
      </c>
      <c r="K64" s="99">
        <f t="shared" si="63"/>
        <v>13</v>
      </c>
      <c r="L64" s="169">
        <f t="shared" si="39"/>
        <v>3</v>
      </c>
      <c r="M64" s="126">
        <f t="shared" si="61"/>
        <v>10</v>
      </c>
      <c r="N64" s="25">
        <v>14</v>
      </c>
      <c r="O64" s="119">
        <f t="shared" si="64"/>
        <v>389830</v>
      </c>
      <c r="P64" s="119">
        <f t="shared" si="65"/>
        <v>117728.66</v>
      </c>
      <c r="Q64" s="119">
        <f t="shared" si="66"/>
        <v>507558.66000000003</v>
      </c>
      <c r="R64" s="24">
        <f t="shared" si="67"/>
        <v>2.0648967551622419E-2</v>
      </c>
      <c r="S64" s="120" t="e">
        <f>ROUND(R64*#REF!,0)</f>
        <v>#REF!</v>
      </c>
      <c r="T64" s="121" t="e">
        <f t="shared" si="68"/>
        <v>#REF!</v>
      </c>
      <c r="U64" s="121" t="e">
        <f t="shared" si="69"/>
        <v>#REF!</v>
      </c>
      <c r="V64" s="121" t="e">
        <f t="shared" si="70"/>
        <v>#REF!</v>
      </c>
      <c r="W64" s="122" t="e">
        <f t="shared" si="71"/>
        <v>#REF!</v>
      </c>
      <c r="X64" s="38" t="e">
        <f>W64+'проезд Лизе к бюджету 2018'!L64</f>
        <v>#REF!</v>
      </c>
      <c r="Y64" s="37" t="e">
        <f>#REF!+#REF!</f>
        <v>#REF!</v>
      </c>
      <c r="Z64" s="37" t="e">
        <f t="shared" si="72"/>
        <v>#REF!</v>
      </c>
      <c r="AA64" s="249">
        <v>408650</v>
      </c>
      <c r="AB64" s="242">
        <v>123550</v>
      </c>
      <c r="AC64" s="253">
        <f>AA64+AB64</f>
        <v>532200</v>
      </c>
      <c r="AD64" s="245">
        <f t="shared" si="16"/>
        <v>278450</v>
      </c>
      <c r="AE64" s="326">
        <v>7250</v>
      </c>
      <c r="AF64" s="336">
        <v>48</v>
      </c>
      <c r="AG64" s="260">
        <v>21670.3</v>
      </c>
      <c r="AH64" s="274">
        <v>28920.3</v>
      </c>
      <c r="AI64" s="337"/>
      <c r="AJ64" s="330">
        <f t="shared" si="50"/>
        <v>376970.3</v>
      </c>
      <c r="AK64" s="143">
        <f t="shared" si="51"/>
        <v>-31679.700000000012</v>
      </c>
      <c r="AL64" s="125">
        <f>AF64-'проезд Лизе к бюджету 2018'!B65</f>
        <v>47</v>
      </c>
      <c r="AM64" s="200">
        <f t="shared" si="27"/>
        <v>-31600</v>
      </c>
      <c r="AN64" s="200">
        <f t="shared" si="28"/>
        <v>-123550</v>
      </c>
      <c r="AO64" s="200">
        <f t="shared" si="29"/>
        <v>-155150</v>
      </c>
      <c r="AP64" s="311">
        <f t="shared" si="52"/>
        <v>-31600</v>
      </c>
      <c r="AQ64" s="311">
        <f t="shared" si="53"/>
        <v>-123550</v>
      </c>
      <c r="AR64" s="312">
        <f t="shared" si="54"/>
        <v>-155150</v>
      </c>
      <c r="AS64" s="312">
        <f t="shared" si="30"/>
        <v>-155150</v>
      </c>
      <c r="AT64" s="317"/>
      <c r="AU64">
        <v>-79.700000000011642</v>
      </c>
      <c r="AW64" s="279">
        <f t="shared" si="62"/>
        <v>377050</v>
      </c>
      <c r="AX64" s="280">
        <f t="shared" si="31"/>
        <v>278450</v>
      </c>
      <c r="AY64" s="285">
        <f t="shared" si="56"/>
        <v>98600</v>
      </c>
      <c r="AZ64" s="296">
        <f t="shared" si="57"/>
        <v>5.666666666666667</v>
      </c>
      <c r="BA64" s="349">
        <f>ROUND(AZ64,0)*12-4</f>
        <v>68</v>
      </c>
      <c r="BB64" s="292">
        <v>1450</v>
      </c>
      <c r="BC64" s="303">
        <f t="shared" si="58"/>
        <v>98600</v>
      </c>
      <c r="BD64" s="298">
        <f t="shared" si="59"/>
        <v>0</v>
      </c>
      <c r="BE64" s="271">
        <f t="shared" si="60"/>
        <v>0</v>
      </c>
      <c r="BG64" s="37">
        <f t="shared" si="33"/>
        <v>377050</v>
      </c>
    </row>
    <row r="65" spans="1:59" x14ac:dyDescent="0.3">
      <c r="A65" s="21" t="s">
        <v>52</v>
      </c>
      <c r="B65" s="134" t="s">
        <v>97</v>
      </c>
      <c r="C65" s="95"/>
      <c r="D65" s="106"/>
      <c r="E65" s="101">
        <v>68</v>
      </c>
      <c r="F65" s="103">
        <f t="shared" si="35"/>
        <v>68</v>
      </c>
      <c r="G65" s="111"/>
      <c r="H65" s="104">
        <v>12</v>
      </c>
      <c r="I65" s="105">
        <f t="shared" si="36"/>
        <v>12</v>
      </c>
      <c r="J65" s="22">
        <f t="shared" si="63"/>
        <v>0</v>
      </c>
      <c r="K65" s="99">
        <f t="shared" si="63"/>
        <v>14</v>
      </c>
      <c r="L65" s="169">
        <f t="shared" si="39"/>
        <v>2</v>
      </c>
      <c r="M65" s="126">
        <f t="shared" si="61"/>
        <v>12</v>
      </c>
      <c r="N65" s="25"/>
      <c r="O65" s="119">
        <f t="shared" si="64"/>
        <v>0</v>
      </c>
      <c r="P65" s="119">
        <f t="shared" si="65"/>
        <v>0</v>
      </c>
      <c r="Q65" s="119">
        <f t="shared" si="66"/>
        <v>0</v>
      </c>
      <c r="R65" s="24">
        <f t="shared" si="67"/>
        <v>0</v>
      </c>
      <c r="S65" s="120" t="e">
        <f>ROUND(R65*#REF!,0)</f>
        <v>#REF!</v>
      </c>
      <c r="T65" s="121" t="e">
        <f t="shared" si="68"/>
        <v>#REF!</v>
      </c>
      <c r="U65" s="121" t="e">
        <f t="shared" si="69"/>
        <v>#REF!</v>
      </c>
      <c r="V65" s="121" t="e">
        <f t="shared" si="70"/>
        <v>#REF!</v>
      </c>
      <c r="W65" s="122" t="e">
        <f t="shared" si="71"/>
        <v>#REF!</v>
      </c>
      <c r="X65" s="38" t="e">
        <f>W65+'проезд Лизе к бюджету 2018'!L65</f>
        <v>#REF!</v>
      </c>
      <c r="Y65" s="37" t="e">
        <f>#REF!+#REF!</f>
        <v>#REF!</v>
      </c>
      <c r="Z65" s="37" t="e">
        <f t="shared" si="72"/>
        <v>#REF!</v>
      </c>
      <c r="AA65" s="249">
        <v>297050</v>
      </c>
      <c r="AB65" s="242">
        <v>89850</v>
      </c>
      <c r="AC65" s="253">
        <f>AA65+AB65</f>
        <v>386900</v>
      </c>
      <c r="AD65" s="245">
        <f t="shared" si="16"/>
        <v>334140</v>
      </c>
      <c r="AE65" s="326">
        <v>1450</v>
      </c>
      <c r="AF65" s="336">
        <v>3</v>
      </c>
      <c r="AG65" s="260">
        <v>4342.51</v>
      </c>
      <c r="AH65" s="274">
        <v>5792.51</v>
      </c>
      <c r="AI65" s="337"/>
      <c r="AJ65" s="330">
        <f t="shared" si="50"/>
        <v>344282.51</v>
      </c>
      <c r="AK65" s="143">
        <f t="shared" si="51"/>
        <v>47232.510000000009</v>
      </c>
      <c r="AL65" s="125">
        <f>AF65-'проезд Лизе к бюджету 2018'!B66</f>
        <v>3</v>
      </c>
      <c r="AM65" s="200">
        <f t="shared" si="27"/>
        <v>47240</v>
      </c>
      <c r="AN65" s="200">
        <f t="shared" si="28"/>
        <v>-89850</v>
      </c>
      <c r="AO65" s="200">
        <f t="shared" si="29"/>
        <v>-42610</v>
      </c>
      <c r="AP65" s="311">
        <f t="shared" si="52"/>
        <v>47300.000000000007</v>
      </c>
      <c r="AQ65" s="311">
        <f t="shared" si="53"/>
        <v>-89850</v>
      </c>
      <c r="AR65" s="312">
        <f t="shared" si="54"/>
        <v>-42549.999999999993</v>
      </c>
      <c r="AS65" s="312">
        <f t="shared" si="30"/>
        <v>-42549.999999999993</v>
      </c>
      <c r="AT65" s="317"/>
      <c r="AU65">
        <v>-7.4899999999906868</v>
      </c>
      <c r="AW65" s="279">
        <f t="shared" si="62"/>
        <v>344290</v>
      </c>
      <c r="AX65" s="280">
        <f t="shared" si="31"/>
        <v>334140</v>
      </c>
      <c r="AY65" s="285">
        <f t="shared" si="56"/>
        <v>10150</v>
      </c>
      <c r="AZ65" s="296">
        <f t="shared" si="57"/>
        <v>0.58333333333333337</v>
      </c>
      <c r="BA65" s="349">
        <f>ROUND(AZ65,0)*12-5</f>
        <v>7</v>
      </c>
      <c r="BB65" s="292">
        <v>1450</v>
      </c>
      <c r="BC65" s="303">
        <f t="shared" si="58"/>
        <v>10150</v>
      </c>
      <c r="BD65" s="298">
        <f t="shared" si="59"/>
        <v>0</v>
      </c>
      <c r="BE65" s="271">
        <f t="shared" si="60"/>
        <v>0</v>
      </c>
      <c r="BG65" s="37">
        <f t="shared" si="33"/>
        <v>344290</v>
      </c>
    </row>
    <row r="66" spans="1:59" ht="14.4" customHeight="1" x14ac:dyDescent="0.3">
      <c r="A66" s="21" t="s">
        <v>57</v>
      </c>
      <c r="B66" s="270" t="s">
        <v>98</v>
      </c>
      <c r="C66" s="95">
        <v>9</v>
      </c>
      <c r="D66" s="106">
        <v>91</v>
      </c>
      <c r="E66" s="101">
        <v>83</v>
      </c>
      <c r="F66" s="103">
        <f t="shared" si="35"/>
        <v>-8</v>
      </c>
      <c r="G66" s="111">
        <v>13</v>
      </c>
      <c r="H66" s="104">
        <v>15</v>
      </c>
      <c r="I66" s="105">
        <f t="shared" si="36"/>
        <v>2</v>
      </c>
      <c r="J66" s="22">
        <f t="shared" si="63"/>
        <v>19</v>
      </c>
      <c r="K66" s="99">
        <f t="shared" si="63"/>
        <v>17</v>
      </c>
      <c r="L66" s="169">
        <f t="shared" si="39"/>
        <v>2</v>
      </c>
      <c r="M66" s="126">
        <f t="shared" si="61"/>
        <v>15</v>
      </c>
      <c r="N66" s="25">
        <v>13</v>
      </c>
      <c r="O66" s="119">
        <f t="shared" si="64"/>
        <v>361985</v>
      </c>
      <c r="P66" s="119">
        <f t="shared" si="65"/>
        <v>109319.47</v>
      </c>
      <c r="Q66" s="119">
        <f t="shared" si="66"/>
        <v>471304.47</v>
      </c>
      <c r="R66" s="24">
        <f t="shared" si="67"/>
        <v>1.9174041297935103E-2</v>
      </c>
      <c r="S66" s="120" t="e">
        <f>ROUND(R66*#REF!,0)</f>
        <v>#REF!</v>
      </c>
      <c r="T66" s="121" t="e">
        <f t="shared" si="68"/>
        <v>#REF!</v>
      </c>
      <c r="U66" s="121" t="e">
        <f t="shared" si="69"/>
        <v>#REF!</v>
      </c>
      <c r="V66" s="121" t="e">
        <f t="shared" si="70"/>
        <v>#REF!</v>
      </c>
      <c r="W66" s="122" t="e">
        <f t="shared" si="71"/>
        <v>#REF!</v>
      </c>
      <c r="X66" s="38" t="e">
        <f>W66+'проезд Лизе к бюджету 2018'!L66</f>
        <v>#REF!</v>
      </c>
      <c r="Y66" s="37" t="e">
        <f>#REF!+#REF!</f>
        <v>#REF!</v>
      </c>
      <c r="Z66" s="37" t="e">
        <f t="shared" si="72"/>
        <v>#REF!</v>
      </c>
      <c r="AA66" s="249">
        <v>501540</v>
      </c>
      <c r="AB66" s="242">
        <v>150660</v>
      </c>
      <c r="AC66" s="253">
        <f>AA66+AB66</f>
        <v>652200</v>
      </c>
      <c r="AD66" s="245">
        <f t="shared" si="16"/>
        <v>417675</v>
      </c>
      <c r="AE66" s="326">
        <v>1698</v>
      </c>
      <c r="AF66" s="339">
        <f>10*8</f>
        <v>80</v>
      </c>
      <c r="AG66" s="260">
        <v>53650</v>
      </c>
      <c r="AH66" s="274">
        <v>66700</v>
      </c>
      <c r="AI66" s="337">
        <v>3938.76</v>
      </c>
      <c r="AJ66" s="330">
        <f t="shared" si="50"/>
        <v>600375</v>
      </c>
      <c r="AK66" s="143">
        <f t="shared" si="51"/>
        <v>98835</v>
      </c>
      <c r="AL66" s="125">
        <f>AF66-'проезд Лизе к бюджету 2018'!B67</f>
        <v>75</v>
      </c>
      <c r="AM66" s="200">
        <f t="shared" si="27"/>
        <v>99246.239999999991</v>
      </c>
      <c r="AN66" s="200">
        <f t="shared" si="28"/>
        <v>-146721.24</v>
      </c>
      <c r="AO66" s="200">
        <f t="shared" si="29"/>
        <v>-47475</v>
      </c>
      <c r="AP66" s="311">
        <f t="shared" si="52"/>
        <v>99300</v>
      </c>
      <c r="AQ66" s="311">
        <f t="shared" si="53"/>
        <v>-146721.24</v>
      </c>
      <c r="AR66" s="312">
        <f t="shared" si="54"/>
        <v>-47421.239999999991</v>
      </c>
      <c r="AS66" s="312">
        <f t="shared" si="30"/>
        <v>-47421.239999999991</v>
      </c>
      <c r="AT66" s="317"/>
      <c r="AU66">
        <v>-411.23999999999069</v>
      </c>
      <c r="AW66" s="279">
        <f t="shared" si="62"/>
        <v>604725</v>
      </c>
      <c r="AX66" s="280">
        <f t="shared" si="31"/>
        <v>417675</v>
      </c>
      <c r="AY66" s="285">
        <f t="shared" si="56"/>
        <v>187050</v>
      </c>
      <c r="AZ66" s="296">
        <f t="shared" si="57"/>
        <v>10.75</v>
      </c>
      <c r="BA66" s="349">
        <f>ROUND(AZ66,0)*12-3</f>
        <v>129</v>
      </c>
      <c r="BB66" s="292">
        <v>1450</v>
      </c>
      <c r="BC66" s="303">
        <f t="shared" si="58"/>
        <v>187050</v>
      </c>
      <c r="BD66" s="298">
        <f t="shared" si="59"/>
        <v>0</v>
      </c>
      <c r="BE66" s="271">
        <f t="shared" si="60"/>
        <v>0</v>
      </c>
      <c r="BG66" s="37">
        <f t="shared" si="33"/>
        <v>604725</v>
      </c>
    </row>
    <row r="67" spans="1:59" x14ac:dyDescent="0.3">
      <c r="A67" s="21" t="s">
        <v>99</v>
      </c>
      <c r="B67" s="134" t="s">
        <v>100</v>
      </c>
      <c r="C67" s="95">
        <v>0</v>
      </c>
      <c r="D67" s="106">
        <v>15</v>
      </c>
      <c r="E67" s="101">
        <v>13</v>
      </c>
      <c r="F67" s="103">
        <f t="shared" si="35"/>
        <v>-2</v>
      </c>
      <c r="G67" s="111">
        <v>2</v>
      </c>
      <c r="H67" s="104">
        <v>0</v>
      </c>
      <c r="I67" s="105">
        <f t="shared" si="36"/>
        <v>-2</v>
      </c>
      <c r="J67" s="22">
        <f t="shared" si="63"/>
        <v>3</v>
      </c>
      <c r="K67" s="99">
        <f t="shared" si="63"/>
        <v>3</v>
      </c>
      <c r="L67" s="169">
        <f t="shared" si="39"/>
        <v>3</v>
      </c>
      <c r="M67" s="126">
        <f t="shared" si="61"/>
        <v>0</v>
      </c>
      <c r="N67" s="25">
        <v>2</v>
      </c>
      <c r="O67" s="119">
        <f t="shared" si="64"/>
        <v>55690</v>
      </c>
      <c r="P67" s="119">
        <f t="shared" si="65"/>
        <v>16818.38</v>
      </c>
      <c r="Q67" s="119">
        <f t="shared" si="66"/>
        <v>72508.38</v>
      </c>
      <c r="R67" s="24">
        <f t="shared" si="67"/>
        <v>2.9498525073746312E-3</v>
      </c>
      <c r="S67" s="120" t="e">
        <f>ROUND(R67*#REF!,0)</f>
        <v>#REF!</v>
      </c>
      <c r="T67" s="121" t="e">
        <f t="shared" si="68"/>
        <v>#REF!</v>
      </c>
      <c r="U67" s="121" t="e">
        <f t="shared" si="69"/>
        <v>#REF!</v>
      </c>
      <c r="V67" s="121" t="e">
        <f t="shared" si="70"/>
        <v>#REF!</v>
      </c>
      <c r="W67" s="122" t="e">
        <f t="shared" si="71"/>
        <v>#REF!</v>
      </c>
      <c r="X67" s="38" t="e">
        <f>W67+'проезд Лизе к бюджету 2018'!L67</f>
        <v>#REF!</v>
      </c>
      <c r="Y67" s="37" t="e">
        <f>#REF!+#REF!</f>
        <v>#REF!</v>
      </c>
      <c r="Z67" s="37" t="e">
        <f t="shared" si="72"/>
        <v>#REF!</v>
      </c>
      <c r="AA67" s="249"/>
      <c r="AB67" s="242"/>
      <c r="AC67" s="253"/>
      <c r="AD67" s="245">
        <f t="shared" si="16"/>
        <v>0</v>
      </c>
      <c r="AE67" s="326"/>
      <c r="AF67" s="336">
        <f>ROUND(AE67/1450,0)</f>
        <v>0</v>
      </c>
      <c r="AG67" s="259"/>
      <c r="AH67" s="276"/>
      <c r="AI67" s="342"/>
      <c r="AJ67" s="330">
        <f t="shared" si="50"/>
        <v>0</v>
      </c>
      <c r="AK67" s="143">
        <f t="shared" si="51"/>
        <v>0</v>
      </c>
      <c r="AL67" s="125">
        <f>AF67-'проезд Лизе к бюджету 2018'!B68</f>
        <v>-7</v>
      </c>
      <c r="AM67" s="200">
        <f t="shared" si="27"/>
        <v>0</v>
      </c>
      <c r="AN67" s="200">
        <f t="shared" si="28"/>
        <v>0</v>
      </c>
      <c r="AO67" s="200">
        <f t="shared" si="29"/>
        <v>0</v>
      </c>
      <c r="AP67" s="311">
        <f t="shared" si="52"/>
        <v>0</v>
      </c>
      <c r="AQ67" s="311">
        <f t="shared" si="53"/>
        <v>0</v>
      </c>
      <c r="AR67" s="312">
        <f t="shared" si="54"/>
        <v>0</v>
      </c>
      <c r="AS67" s="312">
        <f t="shared" si="30"/>
        <v>0</v>
      </c>
      <c r="AT67" s="317"/>
      <c r="AU67">
        <v>0</v>
      </c>
      <c r="AW67" s="279">
        <f t="shared" si="62"/>
        <v>0</v>
      </c>
      <c r="AX67" s="280">
        <f t="shared" si="31"/>
        <v>0</v>
      </c>
      <c r="AY67" s="285">
        <f t="shared" si="56"/>
        <v>0</v>
      </c>
      <c r="AZ67" s="296">
        <f t="shared" si="57"/>
        <v>0</v>
      </c>
      <c r="BA67" s="348">
        <f>ROUND(AZ67,0)*12</f>
        <v>0</v>
      </c>
      <c r="BB67" s="292">
        <v>1450</v>
      </c>
      <c r="BC67" s="303">
        <f t="shared" si="58"/>
        <v>0</v>
      </c>
      <c r="BD67" s="298">
        <f t="shared" si="59"/>
        <v>0</v>
      </c>
      <c r="BE67" s="271">
        <f t="shared" si="60"/>
        <v>0</v>
      </c>
      <c r="BG67" s="37">
        <f t="shared" si="33"/>
        <v>0</v>
      </c>
    </row>
    <row r="68" spans="1:59" s="235" customFormat="1" ht="13.2" customHeight="1" x14ac:dyDescent="0.3">
      <c r="A68" s="209" t="s">
        <v>147</v>
      </c>
      <c r="B68" s="210" t="s">
        <v>101</v>
      </c>
      <c r="C68" s="211">
        <v>3</v>
      </c>
      <c r="D68" s="212">
        <v>57</v>
      </c>
      <c r="E68" s="212">
        <v>57</v>
      </c>
      <c r="F68" s="213">
        <f t="shared" ref="F68:F75" si="73">E68-D68</f>
        <v>0</v>
      </c>
      <c r="G68" s="214">
        <v>23</v>
      </c>
      <c r="H68" s="215">
        <v>12</v>
      </c>
      <c r="I68" s="216">
        <f t="shared" ref="I68:I75" si="74">H68-G68</f>
        <v>-11</v>
      </c>
      <c r="J68" s="217">
        <f t="shared" si="63"/>
        <v>12</v>
      </c>
      <c r="K68" s="218">
        <f t="shared" si="63"/>
        <v>12</v>
      </c>
      <c r="L68" s="219">
        <f t="shared" ref="L68:L75" si="75">K68-H68</f>
        <v>0</v>
      </c>
      <c r="M68" s="208">
        <f t="shared" si="61"/>
        <v>12</v>
      </c>
      <c r="N68" s="221">
        <v>12</v>
      </c>
      <c r="O68" s="222">
        <f t="shared" si="64"/>
        <v>334140</v>
      </c>
      <c r="P68" s="222">
        <f t="shared" si="65"/>
        <v>100910.28</v>
      </c>
      <c r="Q68" s="222">
        <f t="shared" si="66"/>
        <v>435050.28</v>
      </c>
      <c r="R68" s="223">
        <f t="shared" si="67"/>
        <v>1.7699115044247787E-2</v>
      </c>
      <c r="S68" s="224" t="e">
        <f>ROUND(R68*#REF!,0)</f>
        <v>#REF!</v>
      </c>
      <c r="T68" s="225" t="e">
        <f t="shared" si="68"/>
        <v>#REF!</v>
      </c>
      <c r="U68" s="225" t="e">
        <f t="shared" si="69"/>
        <v>#REF!</v>
      </c>
      <c r="V68" s="225" t="e">
        <f t="shared" si="70"/>
        <v>#REF!</v>
      </c>
      <c r="W68" s="226" t="e">
        <f t="shared" si="71"/>
        <v>#REF!</v>
      </c>
      <c r="X68" s="227" t="e">
        <f>W68+'проезд Лизе к бюджету 2018'!L68</f>
        <v>#REF!</v>
      </c>
      <c r="Y68" s="228" t="e">
        <f>#REF!+#REF!</f>
        <v>#REF!</v>
      </c>
      <c r="Z68" s="228" t="e">
        <f t="shared" si="72"/>
        <v>#REF!</v>
      </c>
      <c r="AA68" s="250">
        <v>343605</v>
      </c>
      <c r="AB68" s="243">
        <v>103495</v>
      </c>
      <c r="AC68" s="254">
        <f t="shared" ref="AC68:AC75" si="76">AA68+AB68</f>
        <v>447100</v>
      </c>
      <c r="AD68" s="245">
        <f t="shared" ref="AD68:AD75" si="77">$K$2*M68</f>
        <v>334140</v>
      </c>
      <c r="AE68" s="327">
        <v>8700</v>
      </c>
      <c r="AF68" s="336">
        <v>28</v>
      </c>
      <c r="AG68" s="261">
        <v>33212.520000000004</v>
      </c>
      <c r="AH68" s="274">
        <v>40462.519999999997</v>
      </c>
      <c r="AI68" s="337"/>
      <c r="AJ68" s="330">
        <f t="shared" ref="AJ68:AJ75" si="78">(1450*AF68)+AD68+AH68</f>
        <v>415202.52</v>
      </c>
      <c r="AK68" s="143">
        <f t="shared" ref="AK68:AK75" si="79">AJ68-AA68</f>
        <v>71597.520000000019</v>
      </c>
      <c r="AL68" s="125">
        <f>AF68-'проезд Лизе к бюджету 2018'!B69</f>
        <v>28</v>
      </c>
      <c r="AM68" s="200">
        <f t="shared" si="27"/>
        <v>71735</v>
      </c>
      <c r="AN68" s="200">
        <f t="shared" si="28"/>
        <v>-103495</v>
      </c>
      <c r="AO68" s="200">
        <f t="shared" si="29"/>
        <v>-31760</v>
      </c>
      <c r="AP68" s="311">
        <f t="shared" ref="AP68:AP75" si="80">IF(AM68&gt;=-99,IF(AM68&gt;0,ROUNDUP(AM68/1000,1),0),ROUNDDOWN(AM68/1000,1))*1000</f>
        <v>71800</v>
      </c>
      <c r="AQ68" s="311">
        <f t="shared" ref="AQ68:AQ75" si="81">AN68</f>
        <v>-103495</v>
      </c>
      <c r="AR68" s="313">
        <f t="shared" ref="AR68:AR75" si="82">SUM(AP68:AQ68)</f>
        <v>-31695</v>
      </c>
      <c r="AS68" s="312">
        <f t="shared" si="30"/>
        <v>-31695</v>
      </c>
      <c r="AT68" s="317"/>
      <c r="AU68" s="235">
        <v>-137.47999999998137</v>
      </c>
      <c r="AV68" s="322"/>
      <c r="AW68" s="279">
        <f t="shared" si="62"/>
        <v>415340</v>
      </c>
      <c r="AX68" s="280">
        <f t="shared" si="31"/>
        <v>334140</v>
      </c>
      <c r="AY68" s="285">
        <f t="shared" ref="AY68:AY75" si="83">AW68-AX68</f>
        <v>81200</v>
      </c>
      <c r="AZ68" s="296">
        <f t="shared" ref="AZ68:AZ75" si="84">AY68/1450/12</f>
        <v>4.666666666666667</v>
      </c>
      <c r="BA68" s="348">
        <f>ROUND(AZ68,0)*12-4</f>
        <v>56</v>
      </c>
      <c r="BB68" s="292">
        <v>1450</v>
      </c>
      <c r="BC68" s="303">
        <f t="shared" ref="BC68:BC75" si="85">BA68*BB68</f>
        <v>81200</v>
      </c>
      <c r="BD68" s="298">
        <f t="shared" ref="BD68:BD75" si="86">AY68-BC68</f>
        <v>0</v>
      </c>
      <c r="BE68" s="271">
        <f t="shared" ref="BE68:BE75" si="87">BD68/BB68</f>
        <v>0</v>
      </c>
      <c r="BG68" s="37">
        <f t="shared" si="33"/>
        <v>415340</v>
      </c>
    </row>
    <row r="69" spans="1:59" s="235" customFormat="1" ht="14.4" customHeight="1" x14ac:dyDescent="0.3">
      <c r="A69" s="209" t="s">
        <v>148</v>
      </c>
      <c r="B69" s="210" t="s">
        <v>102</v>
      </c>
      <c r="C69" s="211">
        <v>2</v>
      </c>
      <c r="D69" s="212">
        <v>70</v>
      </c>
      <c r="E69" s="212">
        <v>70</v>
      </c>
      <c r="F69" s="213">
        <f t="shared" si="73"/>
        <v>0</v>
      </c>
      <c r="G69" s="214">
        <v>15</v>
      </c>
      <c r="H69" s="236">
        <v>17</v>
      </c>
      <c r="I69" s="216">
        <f t="shared" si="74"/>
        <v>2</v>
      </c>
      <c r="J69" s="217">
        <f t="shared" ref="J69:J75" si="88">ROUNDUP(D69/5,0)</f>
        <v>14</v>
      </c>
      <c r="K69" s="218">
        <v>17</v>
      </c>
      <c r="L69" s="219">
        <f t="shared" si="75"/>
        <v>0</v>
      </c>
      <c r="M69" s="208">
        <f t="shared" si="61"/>
        <v>17</v>
      </c>
      <c r="N69" s="221">
        <v>14</v>
      </c>
      <c r="O69" s="222">
        <f t="shared" si="64"/>
        <v>389830</v>
      </c>
      <c r="P69" s="222">
        <f t="shared" si="65"/>
        <v>117728.66</v>
      </c>
      <c r="Q69" s="222">
        <f t="shared" si="66"/>
        <v>507558.66000000003</v>
      </c>
      <c r="R69" s="223">
        <f t="shared" si="67"/>
        <v>2.0648967551622419E-2</v>
      </c>
      <c r="S69" s="224" t="e">
        <f>ROUND(R69*#REF!,0)</f>
        <v>#REF!</v>
      </c>
      <c r="T69" s="225" t="e">
        <f t="shared" si="68"/>
        <v>#REF!</v>
      </c>
      <c r="U69" s="225" t="e">
        <f t="shared" si="69"/>
        <v>#REF!</v>
      </c>
      <c r="V69" s="225" t="e">
        <f t="shared" si="70"/>
        <v>#REF!</v>
      </c>
      <c r="W69" s="226" t="e">
        <f t="shared" si="71"/>
        <v>#REF!</v>
      </c>
      <c r="X69" s="227" t="e">
        <f>W69+'проезд Лизе к бюджету 2018'!L69</f>
        <v>#REF!</v>
      </c>
      <c r="Y69" s="228" t="e">
        <f>#REF!+#REF!</f>
        <v>#REF!</v>
      </c>
      <c r="Z69" s="228" t="e">
        <f t="shared" si="72"/>
        <v>#REF!</v>
      </c>
      <c r="AA69" s="250">
        <v>315650</v>
      </c>
      <c r="AB69" s="243">
        <v>95450</v>
      </c>
      <c r="AC69" s="254">
        <f t="shared" si="76"/>
        <v>411100</v>
      </c>
      <c r="AD69" s="245">
        <f t="shared" si="77"/>
        <v>473365</v>
      </c>
      <c r="AE69" s="327">
        <v>5800</v>
      </c>
      <c r="AF69" s="336">
        <v>40</v>
      </c>
      <c r="AG69" s="261">
        <v>33246.9</v>
      </c>
      <c r="AH69" s="274">
        <v>39046.9</v>
      </c>
      <c r="AI69" s="337"/>
      <c r="AJ69" s="330">
        <f t="shared" si="78"/>
        <v>570411.9</v>
      </c>
      <c r="AK69" s="143">
        <f t="shared" si="79"/>
        <v>254761.90000000002</v>
      </c>
      <c r="AL69" s="125">
        <f>AF69-'проезд Лизе к бюджету 2018'!B70</f>
        <v>40</v>
      </c>
      <c r="AM69" s="200">
        <f t="shared" ref="AM69:AM75" si="89">AK69-AU69</f>
        <v>254865</v>
      </c>
      <c r="AN69" s="200">
        <f t="shared" ref="AN69:AN75" si="90">-AB69+AI69</f>
        <v>-95450</v>
      </c>
      <c r="AO69" s="200">
        <f t="shared" ref="AO69:AO75" si="91">SUM(AM69:AN69)</f>
        <v>159415</v>
      </c>
      <c r="AP69" s="311">
        <f t="shared" si="80"/>
        <v>254900</v>
      </c>
      <c r="AQ69" s="311">
        <f t="shared" si="81"/>
        <v>-95450</v>
      </c>
      <c r="AR69" s="313">
        <f t="shared" si="82"/>
        <v>159450</v>
      </c>
      <c r="AS69" s="312">
        <f t="shared" ref="AS69:AS75" si="92">AR69</f>
        <v>159450</v>
      </c>
      <c r="AT69" s="317"/>
      <c r="AU69" s="235">
        <v>-103.09999999997672</v>
      </c>
      <c r="AV69" s="322"/>
      <c r="AW69" s="279">
        <f t="shared" si="62"/>
        <v>570515</v>
      </c>
      <c r="AX69" s="280">
        <f t="shared" ref="AX69:AX75" si="93">AD69</f>
        <v>473365</v>
      </c>
      <c r="AY69" s="285">
        <f t="shared" si="83"/>
        <v>97150</v>
      </c>
      <c r="AZ69" s="296">
        <f t="shared" si="84"/>
        <v>5.583333333333333</v>
      </c>
      <c r="BA69" s="348">
        <f>ROUND(AZ69,0)*12-5</f>
        <v>67</v>
      </c>
      <c r="BB69" s="292">
        <v>1450</v>
      </c>
      <c r="BC69" s="303">
        <f t="shared" si="85"/>
        <v>97150</v>
      </c>
      <c r="BD69" s="298">
        <f t="shared" si="86"/>
        <v>0</v>
      </c>
      <c r="BE69" s="271">
        <f t="shared" si="87"/>
        <v>0</v>
      </c>
      <c r="BG69" s="37">
        <f t="shared" ref="BG69:BG75" si="94">AX69+BC69</f>
        <v>570515</v>
      </c>
    </row>
    <row r="70" spans="1:59" s="235" customFormat="1" ht="14.4" customHeight="1" x14ac:dyDescent="0.3">
      <c r="A70" s="209" t="s">
        <v>149</v>
      </c>
      <c r="B70" s="210" t="s">
        <v>103</v>
      </c>
      <c r="C70" s="211">
        <v>1</v>
      </c>
      <c r="D70" s="212">
        <v>11</v>
      </c>
      <c r="E70" s="212">
        <v>11</v>
      </c>
      <c r="F70" s="213">
        <f t="shared" si="73"/>
        <v>0</v>
      </c>
      <c r="G70" s="214">
        <v>2</v>
      </c>
      <c r="H70" s="215">
        <v>2</v>
      </c>
      <c r="I70" s="216">
        <f t="shared" si="74"/>
        <v>0</v>
      </c>
      <c r="J70" s="217">
        <f t="shared" si="88"/>
        <v>3</v>
      </c>
      <c r="K70" s="218">
        <f t="shared" ref="K70:K75" si="95">ROUNDUP(E70/5,0)</f>
        <v>3</v>
      </c>
      <c r="L70" s="219">
        <f t="shared" si="75"/>
        <v>1</v>
      </c>
      <c r="M70" s="208">
        <f t="shared" si="61"/>
        <v>2</v>
      </c>
      <c r="N70" s="237">
        <v>2</v>
      </c>
      <c r="O70" s="222">
        <f t="shared" si="64"/>
        <v>55690</v>
      </c>
      <c r="P70" s="222">
        <f t="shared" si="65"/>
        <v>16818.38</v>
      </c>
      <c r="Q70" s="222">
        <f t="shared" si="66"/>
        <v>72508.38</v>
      </c>
      <c r="R70" s="223">
        <f t="shared" si="67"/>
        <v>2.9498525073746312E-3</v>
      </c>
      <c r="S70" s="224" t="e">
        <f>ROUND(R70*#REF!,0)</f>
        <v>#REF!</v>
      </c>
      <c r="T70" s="225" t="e">
        <f t="shared" si="68"/>
        <v>#REF!</v>
      </c>
      <c r="U70" s="225" t="e">
        <f t="shared" si="69"/>
        <v>#REF!</v>
      </c>
      <c r="V70" s="225" t="e">
        <f t="shared" si="70"/>
        <v>#REF!</v>
      </c>
      <c r="W70" s="226" t="e">
        <f t="shared" si="71"/>
        <v>#REF!</v>
      </c>
      <c r="X70" s="227" t="e">
        <f>W70+'проезд Лизе к бюджету 2018'!L70</f>
        <v>#REF!</v>
      </c>
      <c r="Y70" s="228" t="e">
        <f>#REF!+#REF!</f>
        <v>#REF!</v>
      </c>
      <c r="Z70" s="228" t="e">
        <f t="shared" si="72"/>
        <v>#REF!</v>
      </c>
      <c r="AA70" s="250">
        <v>92890</v>
      </c>
      <c r="AB70" s="243">
        <v>28210</v>
      </c>
      <c r="AC70" s="254">
        <f t="shared" si="76"/>
        <v>121100</v>
      </c>
      <c r="AD70" s="245">
        <f t="shared" si="77"/>
        <v>55690</v>
      </c>
      <c r="AE70" s="327">
        <v>2900</v>
      </c>
      <c r="AF70" s="336">
        <v>16</v>
      </c>
      <c r="AG70" s="261">
        <v>15885.4</v>
      </c>
      <c r="AH70" s="274">
        <v>18785.400000000001</v>
      </c>
      <c r="AI70" s="337"/>
      <c r="AJ70" s="330">
        <f t="shared" si="78"/>
        <v>97675.4</v>
      </c>
      <c r="AK70" s="143">
        <f t="shared" si="79"/>
        <v>4785.3999999999942</v>
      </c>
      <c r="AL70" s="125">
        <f>AF70-'проезд Лизе к бюджету 2018'!B71</f>
        <v>4</v>
      </c>
      <c r="AM70" s="200">
        <f t="shared" si="89"/>
        <v>4850</v>
      </c>
      <c r="AN70" s="200">
        <f t="shared" si="90"/>
        <v>-28210</v>
      </c>
      <c r="AO70" s="200">
        <f t="shared" si="91"/>
        <v>-23360</v>
      </c>
      <c r="AP70" s="311">
        <f t="shared" si="80"/>
        <v>4899.9999999999991</v>
      </c>
      <c r="AQ70" s="311">
        <f t="shared" si="81"/>
        <v>-28210</v>
      </c>
      <c r="AR70" s="313">
        <f t="shared" si="82"/>
        <v>-23310</v>
      </c>
      <c r="AS70" s="312">
        <f t="shared" si="92"/>
        <v>-23310</v>
      </c>
      <c r="AT70" s="317"/>
      <c r="AU70" s="235">
        <v>-64.600000000005821</v>
      </c>
      <c r="AV70" s="322"/>
      <c r="AW70" s="279">
        <f t="shared" si="62"/>
        <v>97740</v>
      </c>
      <c r="AX70" s="280">
        <f t="shared" si="93"/>
        <v>55690</v>
      </c>
      <c r="AY70" s="285">
        <f t="shared" si="83"/>
        <v>42050</v>
      </c>
      <c r="AZ70" s="296">
        <f t="shared" si="84"/>
        <v>2.4166666666666665</v>
      </c>
      <c r="BA70" s="348">
        <f>ROUND(AZ70,0)*12+5</f>
        <v>29</v>
      </c>
      <c r="BB70" s="292">
        <v>1450</v>
      </c>
      <c r="BC70" s="303">
        <f t="shared" si="85"/>
        <v>42050</v>
      </c>
      <c r="BD70" s="298">
        <f t="shared" si="86"/>
        <v>0</v>
      </c>
      <c r="BE70" s="271">
        <f t="shared" si="87"/>
        <v>0</v>
      </c>
      <c r="BG70" s="37">
        <f t="shared" si="94"/>
        <v>97740</v>
      </c>
    </row>
    <row r="71" spans="1:59" x14ac:dyDescent="0.3">
      <c r="A71" s="21" t="s">
        <v>56</v>
      </c>
      <c r="B71" s="134" t="s">
        <v>69</v>
      </c>
      <c r="C71" s="95"/>
      <c r="D71" s="106"/>
      <c r="E71" s="101">
        <v>14</v>
      </c>
      <c r="F71" s="103">
        <f t="shared" si="73"/>
        <v>14</v>
      </c>
      <c r="G71" s="111"/>
      <c r="H71" s="104">
        <v>2</v>
      </c>
      <c r="I71" s="105">
        <f t="shared" si="74"/>
        <v>2</v>
      </c>
      <c r="J71" s="22">
        <f t="shared" si="88"/>
        <v>0</v>
      </c>
      <c r="K71" s="99">
        <f t="shared" si="95"/>
        <v>3</v>
      </c>
      <c r="L71" s="169">
        <f t="shared" si="75"/>
        <v>1</v>
      </c>
      <c r="M71" s="126">
        <f t="shared" si="61"/>
        <v>2</v>
      </c>
      <c r="N71" s="25"/>
      <c r="O71" s="119">
        <f t="shared" si="64"/>
        <v>0</v>
      </c>
      <c r="P71" s="119">
        <f t="shared" si="65"/>
        <v>0</v>
      </c>
      <c r="Q71" s="119">
        <f t="shared" si="66"/>
        <v>0</v>
      </c>
      <c r="R71" s="24">
        <f t="shared" si="67"/>
        <v>0</v>
      </c>
      <c r="S71" s="120" t="e">
        <f>ROUND(R71*#REF!,0)</f>
        <v>#REF!</v>
      </c>
      <c r="T71" s="121" t="e">
        <f t="shared" si="68"/>
        <v>#REF!</v>
      </c>
      <c r="U71" s="121" t="e">
        <f t="shared" si="69"/>
        <v>#REF!</v>
      </c>
      <c r="V71" s="121" t="e">
        <f t="shared" si="70"/>
        <v>#REF!</v>
      </c>
      <c r="W71" s="122" t="e">
        <f t="shared" si="71"/>
        <v>#REF!</v>
      </c>
      <c r="X71" s="38" t="e">
        <f>W71+'проезд Лизе к бюджету 2018'!L71</f>
        <v>#REF!</v>
      </c>
      <c r="Y71" s="37" t="e">
        <f>#REF!+#REF!</f>
        <v>#REF!</v>
      </c>
      <c r="Z71" s="37" t="e">
        <f t="shared" si="72"/>
        <v>#REF!</v>
      </c>
      <c r="AA71" s="249">
        <v>55690</v>
      </c>
      <c r="AB71" s="242">
        <v>16910</v>
      </c>
      <c r="AC71" s="253">
        <f t="shared" si="76"/>
        <v>72600</v>
      </c>
      <c r="AD71" s="245">
        <f t="shared" si="77"/>
        <v>55690</v>
      </c>
      <c r="AE71" s="326"/>
      <c r="AF71" s="336">
        <f>ROUND(AE71/1450,0)</f>
        <v>0</v>
      </c>
      <c r="AG71" s="259"/>
      <c r="AH71" s="274"/>
      <c r="AI71" s="337"/>
      <c r="AJ71" s="330">
        <f t="shared" si="78"/>
        <v>55690</v>
      </c>
      <c r="AK71" s="143">
        <f t="shared" si="79"/>
        <v>0</v>
      </c>
      <c r="AL71" s="125">
        <f>AF71-'проезд Лизе к бюджету 2018'!B72</f>
        <v>-2</v>
      </c>
      <c r="AM71" s="200">
        <f t="shared" si="89"/>
        <v>0</v>
      </c>
      <c r="AN71" s="200">
        <f t="shared" si="90"/>
        <v>-16910</v>
      </c>
      <c r="AO71" s="200">
        <f t="shared" si="91"/>
        <v>-16910</v>
      </c>
      <c r="AP71" s="311">
        <f t="shared" si="80"/>
        <v>0</v>
      </c>
      <c r="AQ71" s="311">
        <f t="shared" si="81"/>
        <v>-16910</v>
      </c>
      <c r="AR71" s="312">
        <f t="shared" si="82"/>
        <v>-16910</v>
      </c>
      <c r="AS71" s="312">
        <f t="shared" si="92"/>
        <v>-16910</v>
      </c>
      <c r="AT71" s="317"/>
      <c r="AU71">
        <v>0</v>
      </c>
      <c r="AW71" s="279">
        <f t="shared" si="62"/>
        <v>55690</v>
      </c>
      <c r="AX71" s="280">
        <f t="shared" si="93"/>
        <v>55690</v>
      </c>
      <c r="AY71" s="285">
        <f t="shared" si="83"/>
        <v>0</v>
      </c>
      <c r="AZ71" s="296">
        <f t="shared" si="84"/>
        <v>0</v>
      </c>
      <c r="BA71" s="348">
        <f>ROUND(AZ71,0)*12</f>
        <v>0</v>
      </c>
      <c r="BB71" s="292">
        <v>1450</v>
      </c>
      <c r="BC71" s="303">
        <f t="shared" si="85"/>
        <v>0</v>
      </c>
      <c r="BD71" s="298">
        <f t="shared" si="86"/>
        <v>0</v>
      </c>
      <c r="BE71" s="271">
        <f t="shared" si="87"/>
        <v>0</v>
      </c>
      <c r="BG71" s="37">
        <f t="shared" si="94"/>
        <v>55690</v>
      </c>
    </row>
    <row r="72" spans="1:59" ht="19.2" customHeight="1" x14ac:dyDescent="0.3">
      <c r="A72" s="21" t="s">
        <v>53</v>
      </c>
      <c r="B72" s="135" t="s">
        <v>104</v>
      </c>
      <c r="C72" s="95">
        <v>1</v>
      </c>
      <c r="D72" s="106">
        <v>41</v>
      </c>
      <c r="E72" s="101">
        <v>44</v>
      </c>
      <c r="F72" s="103">
        <f t="shared" si="73"/>
        <v>3</v>
      </c>
      <c r="G72" s="111">
        <v>7</v>
      </c>
      <c r="H72" s="104">
        <v>8</v>
      </c>
      <c r="I72" s="105">
        <f t="shared" si="74"/>
        <v>1</v>
      </c>
      <c r="J72" s="22">
        <f t="shared" si="88"/>
        <v>9</v>
      </c>
      <c r="K72" s="99">
        <f t="shared" si="95"/>
        <v>9</v>
      </c>
      <c r="L72" s="169">
        <f t="shared" si="75"/>
        <v>1</v>
      </c>
      <c r="M72" s="126">
        <f t="shared" si="61"/>
        <v>8</v>
      </c>
      <c r="N72" s="27">
        <v>7</v>
      </c>
      <c r="O72" s="119">
        <f t="shared" si="64"/>
        <v>194915</v>
      </c>
      <c r="P72" s="119">
        <f t="shared" si="65"/>
        <v>58864.33</v>
      </c>
      <c r="Q72" s="119">
        <f t="shared" si="66"/>
        <v>253779.33000000002</v>
      </c>
      <c r="R72" s="24">
        <f t="shared" si="67"/>
        <v>1.0324483775811209E-2</v>
      </c>
      <c r="S72" s="120" t="e">
        <f>ROUND(R72*#REF!,0)</f>
        <v>#REF!</v>
      </c>
      <c r="T72" s="121" t="e">
        <f t="shared" si="68"/>
        <v>#REF!</v>
      </c>
      <c r="U72" s="121" t="e">
        <f t="shared" si="69"/>
        <v>#REF!</v>
      </c>
      <c r="V72" s="121" t="e">
        <f t="shared" si="70"/>
        <v>#REF!</v>
      </c>
      <c r="W72" s="122" t="e">
        <f t="shared" si="71"/>
        <v>#REF!</v>
      </c>
      <c r="X72" s="38" t="e">
        <f>W72+'проезд Лизе к бюджету 2018'!L72</f>
        <v>#REF!</v>
      </c>
      <c r="Y72" s="37" t="e">
        <f>#REF!+#REF!</f>
        <v>#REF!</v>
      </c>
      <c r="Z72" s="37" t="e">
        <f t="shared" si="72"/>
        <v>#REF!</v>
      </c>
      <c r="AA72" s="249">
        <v>232115</v>
      </c>
      <c r="AB72" s="242">
        <v>70285</v>
      </c>
      <c r="AC72" s="253">
        <f t="shared" si="76"/>
        <v>302400</v>
      </c>
      <c r="AD72" s="245">
        <f t="shared" si="77"/>
        <v>222760</v>
      </c>
      <c r="AE72" s="326">
        <v>2940</v>
      </c>
      <c r="AF72" s="336">
        <v>12</v>
      </c>
      <c r="AG72" s="260">
        <v>10220.9</v>
      </c>
      <c r="AH72" s="274">
        <v>13160.9</v>
      </c>
      <c r="AI72" s="337"/>
      <c r="AJ72" s="330">
        <f t="shared" si="78"/>
        <v>253320.9</v>
      </c>
      <c r="AK72" s="143">
        <f t="shared" si="79"/>
        <v>21205.899999999994</v>
      </c>
      <c r="AL72" s="125">
        <f>AF72-'проезд Лизе к бюджету 2018'!B73</f>
        <v>12</v>
      </c>
      <c r="AM72" s="200">
        <f t="shared" si="89"/>
        <v>22545</v>
      </c>
      <c r="AN72" s="200">
        <f t="shared" si="90"/>
        <v>-70285</v>
      </c>
      <c r="AO72" s="200">
        <f t="shared" si="91"/>
        <v>-47740</v>
      </c>
      <c r="AP72" s="311">
        <f t="shared" si="80"/>
        <v>22600</v>
      </c>
      <c r="AQ72" s="311">
        <f t="shared" si="81"/>
        <v>-70285</v>
      </c>
      <c r="AR72" s="312">
        <f t="shared" si="82"/>
        <v>-47685</v>
      </c>
      <c r="AS72" s="312">
        <f t="shared" si="92"/>
        <v>-47685</v>
      </c>
      <c r="AT72" s="317"/>
      <c r="AU72">
        <v>-1339.1000000000058</v>
      </c>
      <c r="AW72" s="279">
        <f t="shared" si="62"/>
        <v>254660</v>
      </c>
      <c r="AX72" s="280">
        <f t="shared" si="93"/>
        <v>222760</v>
      </c>
      <c r="AY72" s="285">
        <f t="shared" si="83"/>
        <v>31900</v>
      </c>
      <c r="AZ72" s="296">
        <f t="shared" si="84"/>
        <v>1.8333333333333333</v>
      </c>
      <c r="BA72" s="348">
        <f>ROUND(AZ72,0)*12-2</f>
        <v>22</v>
      </c>
      <c r="BB72" s="292">
        <v>1450</v>
      </c>
      <c r="BC72" s="303">
        <f t="shared" si="85"/>
        <v>31900</v>
      </c>
      <c r="BD72" s="298">
        <f t="shared" si="86"/>
        <v>0</v>
      </c>
      <c r="BE72" s="271">
        <f t="shared" si="87"/>
        <v>0</v>
      </c>
      <c r="BG72" s="37">
        <f t="shared" si="94"/>
        <v>254660</v>
      </c>
    </row>
    <row r="73" spans="1:59" ht="14.4" customHeight="1" x14ac:dyDescent="0.3">
      <c r="A73" s="21" t="s">
        <v>58</v>
      </c>
      <c r="B73" s="134" t="s">
        <v>105</v>
      </c>
      <c r="C73" s="95">
        <v>1</v>
      </c>
      <c r="D73" s="106">
        <v>35</v>
      </c>
      <c r="E73" s="101">
        <v>35</v>
      </c>
      <c r="F73" s="103">
        <f t="shared" si="73"/>
        <v>0</v>
      </c>
      <c r="G73" s="111">
        <v>8</v>
      </c>
      <c r="H73" s="104">
        <v>6</v>
      </c>
      <c r="I73" s="105">
        <f t="shared" si="74"/>
        <v>-2</v>
      </c>
      <c r="J73" s="22">
        <f t="shared" si="88"/>
        <v>7</v>
      </c>
      <c r="K73" s="99">
        <f t="shared" si="95"/>
        <v>7</v>
      </c>
      <c r="L73" s="169">
        <f t="shared" si="75"/>
        <v>1</v>
      </c>
      <c r="M73" s="126">
        <f t="shared" si="61"/>
        <v>6</v>
      </c>
      <c r="N73" s="27">
        <v>8</v>
      </c>
      <c r="O73" s="119">
        <f t="shared" si="64"/>
        <v>222760</v>
      </c>
      <c r="P73" s="119">
        <f t="shared" si="65"/>
        <v>67273.52</v>
      </c>
      <c r="Q73" s="119">
        <f t="shared" si="66"/>
        <v>290033.52</v>
      </c>
      <c r="R73" s="24">
        <f t="shared" si="67"/>
        <v>1.1799410029498525E-2</v>
      </c>
      <c r="S73" s="120" t="e">
        <f>ROUND(R73*#REF!,0)</f>
        <v>#REF!</v>
      </c>
      <c r="T73" s="121" t="e">
        <f t="shared" si="68"/>
        <v>#REF!</v>
      </c>
      <c r="U73" s="121" t="e">
        <f t="shared" si="69"/>
        <v>#REF!</v>
      </c>
      <c r="V73" s="121" t="e">
        <f t="shared" si="70"/>
        <v>#REF!</v>
      </c>
      <c r="W73" s="122" t="e">
        <f t="shared" si="71"/>
        <v>#REF!</v>
      </c>
      <c r="X73" s="38" t="e">
        <f>W73+'проезд Лизе к бюджету 2018'!L73</f>
        <v>#REF!</v>
      </c>
      <c r="Y73" s="37" t="e">
        <f>#REF!+#REF!</f>
        <v>#REF!</v>
      </c>
      <c r="Z73" s="37" t="e">
        <f t="shared" si="72"/>
        <v>#REF!</v>
      </c>
      <c r="AA73" s="249">
        <v>176425</v>
      </c>
      <c r="AB73" s="242">
        <v>53475</v>
      </c>
      <c r="AC73" s="253">
        <f t="shared" si="76"/>
        <v>229900</v>
      </c>
      <c r="AD73" s="245">
        <f t="shared" si="77"/>
        <v>167070</v>
      </c>
      <c r="AE73" s="326">
        <v>2900</v>
      </c>
      <c r="AF73" s="336">
        <v>16</v>
      </c>
      <c r="AG73" s="259">
        <v>11600</v>
      </c>
      <c r="AH73" s="274">
        <v>14500</v>
      </c>
      <c r="AI73" s="337"/>
      <c r="AJ73" s="330">
        <f t="shared" si="78"/>
        <v>204770</v>
      </c>
      <c r="AK73" s="143">
        <f t="shared" si="79"/>
        <v>28345</v>
      </c>
      <c r="AL73" s="125">
        <f>AF73-'проезд Лизе к бюджету 2018'!B74</f>
        <v>14</v>
      </c>
      <c r="AM73" s="200">
        <f t="shared" si="89"/>
        <v>28345</v>
      </c>
      <c r="AN73" s="200">
        <f t="shared" si="90"/>
        <v>-53475</v>
      </c>
      <c r="AO73" s="200">
        <f t="shared" si="91"/>
        <v>-25130</v>
      </c>
      <c r="AP73" s="311">
        <f t="shared" si="80"/>
        <v>28400.000000000004</v>
      </c>
      <c r="AQ73" s="311">
        <f t="shared" si="81"/>
        <v>-53475</v>
      </c>
      <c r="AR73" s="312">
        <f t="shared" si="82"/>
        <v>-25074.999999999996</v>
      </c>
      <c r="AS73" s="312">
        <f t="shared" si="92"/>
        <v>-25074.999999999996</v>
      </c>
      <c r="AT73" s="317"/>
      <c r="AU73">
        <v>0</v>
      </c>
      <c r="AW73" s="279">
        <f t="shared" si="62"/>
        <v>204770</v>
      </c>
      <c r="AX73" s="280">
        <f t="shared" si="93"/>
        <v>167070</v>
      </c>
      <c r="AY73" s="285">
        <f t="shared" si="83"/>
        <v>37700</v>
      </c>
      <c r="AZ73" s="296">
        <f t="shared" si="84"/>
        <v>2.1666666666666665</v>
      </c>
      <c r="BA73" s="348">
        <f>ROUND(AZ73,0)*12+2</f>
        <v>26</v>
      </c>
      <c r="BB73" s="292">
        <v>1450</v>
      </c>
      <c r="BC73" s="303">
        <f t="shared" si="85"/>
        <v>37700</v>
      </c>
      <c r="BD73" s="298">
        <f t="shared" si="86"/>
        <v>0</v>
      </c>
      <c r="BE73" s="271">
        <f t="shared" si="87"/>
        <v>0</v>
      </c>
      <c r="BG73" s="37">
        <f t="shared" si="94"/>
        <v>204770</v>
      </c>
    </row>
    <row r="74" spans="1:59" ht="14.4" customHeight="1" x14ac:dyDescent="0.3">
      <c r="A74" s="21" t="s">
        <v>54</v>
      </c>
      <c r="B74" s="135" t="s">
        <v>106</v>
      </c>
      <c r="C74" s="95">
        <v>1</v>
      </c>
      <c r="D74" s="106">
        <v>63</v>
      </c>
      <c r="E74" s="101">
        <v>63</v>
      </c>
      <c r="F74" s="103">
        <f t="shared" si="73"/>
        <v>0</v>
      </c>
      <c r="G74" s="111">
        <v>14</v>
      </c>
      <c r="H74" s="104">
        <v>14</v>
      </c>
      <c r="I74" s="105">
        <f t="shared" si="74"/>
        <v>0</v>
      </c>
      <c r="J74" s="22">
        <f t="shared" si="88"/>
        <v>13</v>
      </c>
      <c r="K74" s="170">
        <f t="shared" si="95"/>
        <v>13</v>
      </c>
      <c r="L74" s="172">
        <f t="shared" si="75"/>
        <v>-1</v>
      </c>
      <c r="M74" s="126">
        <f t="shared" si="61"/>
        <v>13</v>
      </c>
      <c r="N74" s="25">
        <v>13</v>
      </c>
      <c r="O74" s="119">
        <f t="shared" si="64"/>
        <v>361985</v>
      </c>
      <c r="P74" s="119">
        <f t="shared" si="65"/>
        <v>109319.47</v>
      </c>
      <c r="Q74" s="119">
        <f t="shared" si="66"/>
        <v>471304.47</v>
      </c>
      <c r="R74" s="24">
        <f t="shared" si="67"/>
        <v>1.9174041297935103E-2</v>
      </c>
      <c r="S74" s="120" t="e">
        <f>ROUND(R74*#REF!,0)</f>
        <v>#REF!</v>
      </c>
      <c r="T74" s="121" t="e">
        <f t="shared" si="68"/>
        <v>#REF!</v>
      </c>
      <c r="U74" s="121" t="e">
        <f t="shared" si="69"/>
        <v>#REF!</v>
      </c>
      <c r="V74" s="121" t="e">
        <f t="shared" si="70"/>
        <v>#REF!</v>
      </c>
      <c r="W74" s="122" t="e">
        <f t="shared" si="71"/>
        <v>#REF!</v>
      </c>
      <c r="X74" s="38" t="e">
        <f>W74+'проезд Лизе к бюджету 2018'!L74</f>
        <v>#REF!</v>
      </c>
      <c r="Y74" s="37" t="e">
        <f>#REF!+#REF!</f>
        <v>#REF!</v>
      </c>
      <c r="Z74" s="37" t="e">
        <f t="shared" si="72"/>
        <v>#REF!</v>
      </c>
      <c r="AA74" s="249">
        <v>46445</v>
      </c>
      <c r="AB74" s="242">
        <v>14255</v>
      </c>
      <c r="AC74" s="253">
        <f t="shared" si="76"/>
        <v>60700</v>
      </c>
      <c r="AD74" s="245">
        <f t="shared" si="77"/>
        <v>361985</v>
      </c>
      <c r="AE74" s="326">
        <v>1450</v>
      </c>
      <c r="AF74" s="336">
        <v>8</v>
      </c>
      <c r="AG74" s="260">
        <v>5727.51</v>
      </c>
      <c r="AH74" s="274">
        <v>7177.51</v>
      </c>
      <c r="AI74" s="337"/>
      <c r="AJ74" s="330">
        <f t="shared" si="78"/>
        <v>380762.51</v>
      </c>
      <c r="AK74" s="143">
        <f t="shared" si="79"/>
        <v>334317.51</v>
      </c>
      <c r="AL74" s="125">
        <f>AF74-'проезд Лизе к бюджету 2018'!B75</f>
        <v>8</v>
      </c>
      <c r="AM74" s="200">
        <f t="shared" si="89"/>
        <v>334390</v>
      </c>
      <c r="AN74" s="200">
        <f t="shared" si="90"/>
        <v>-14255</v>
      </c>
      <c r="AO74" s="200">
        <f t="shared" si="91"/>
        <v>320135</v>
      </c>
      <c r="AP74" s="311">
        <f t="shared" si="80"/>
        <v>334400.00000000006</v>
      </c>
      <c r="AQ74" s="311">
        <f t="shared" si="81"/>
        <v>-14255</v>
      </c>
      <c r="AR74" s="312">
        <f t="shared" si="82"/>
        <v>320145.00000000006</v>
      </c>
      <c r="AS74" s="312">
        <f t="shared" si="92"/>
        <v>320145.00000000006</v>
      </c>
      <c r="AT74" s="317"/>
      <c r="AU74">
        <v>-72.489999999990687</v>
      </c>
      <c r="AW74" s="279">
        <f t="shared" si="62"/>
        <v>380835</v>
      </c>
      <c r="AX74" s="280">
        <f t="shared" si="93"/>
        <v>361985</v>
      </c>
      <c r="AY74" s="285">
        <f t="shared" si="83"/>
        <v>18850</v>
      </c>
      <c r="AZ74" s="296">
        <f t="shared" si="84"/>
        <v>1.0833333333333333</v>
      </c>
      <c r="BA74" s="348">
        <f>ROUND(AZ74,0)*12+1</f>
        <v>13</v>
      </c>
      <c r="BB74" s="292">
        <v>1450</v>
      </c>
      <c r="BC74" s="303">
        <f t="shared" si="85"/>
        <v>18850</v>
      </c>
      <c r="BD74" s="298">
        <f t="shared" si="86"/>
        <v>0</v>
      </c>
      <c r="BE74" s="271">
        <f t="shared" si="87"/>
        <v>0</v>
      </c>
      <c r="BG74" s="37">
        <f t="shared" si="94"/>
        <v>380835</v>
      </c>
    </row>
    <row r="75" spans="1:59" x14ac:dyDescent="0.3">
      <c r="A75" s="21" t="s">
        <v>107</v>
      </c>
      <c r="B75" s="134" t="s">
        <v>108</v>
      </c>
      <c r="C75" s="95">
        <v>0</v>
      </c>
      <c r="D75" s="106">
        <v>46</v>
      </c>
      <c r="E75" s="101">
        <v>46</v>
      </c>
      <c r="F75" s="103">
        <f t="shared" si="73"/>
        <v>0</v>
      </c>
      <c r="G75" s="111">
        <v>5</v>
      </c>
      <c r="H75" s="104">
        <v>5</v>
      </c>
      <c r="I75" s="105">
        <f t="shared" si="74"/>
        <v>0</v>
      </c>
      <c r="J75" s="22">
        <f t="shared" si="88"/>
        <v>10</v>
      </c>
      <c r="K75" s="99">
        <f t="shared" si="95"/>
        <v>10</v>
      </c>
      <c r="L75" s="169">
        <f t="shared" si="75"/>
        <v>5</v>
      </c>
      <c r="M75" s="126">
        <f t="shared" si="61"/>
        <v>5</v>
      </c>
      <c r="N75" s="27">
        <v>5</v>
      </c>
      <c r="O75" s="119">
        <f t="shared" si="64"/>
        <v>139225</v>
      </c>
      <c r="P75" s="119">
        <f t="shared" si="65"/>
        <v>42045.95</v>
      </c>
      <c r="Q75" s="119">
        <f t="shared" si="66"/>
        <v>181270.95</v>
      </c>
      <c r="R75" s="24">
        <f t="shared" si="67"/>
        <v>7.3746312684365781E-3</v>
      </c>
      <c r="S75" s="120" t="e">
        <f>ROUND(R75*#REF!,0)</f>
        <v>#REF!</v>
      </c>
      <c r="T75" s="121" t="e">
        <f t="shared" si="68"/>
        <v>#REF!</v>
      </c>
      <c r="U75" s="121" t="e">
        <f t="shared" si="69"/>
        <v>#REF!</v>
      </c>
      <c r="V75" s="121" t="e">
        <f t="shared" si="70"/>
        <v>#REF!</v>
      </c>
      <c r="W75" s="122" t="e">
        <f t="shared" si="71"/>
        <v>#REF!</v>
      </c>
      <c r="X75" s="38" t="e">
        <f>W75+'проезд Лизе к бюджету 2018'!L75</f>
        <v>#REF!</v>
      </c>
      <c r="Y75" s="37" t="e">
        <f>#REF!+#REF!</f>
        <v>#REF!</v>
      </c>
      <c r="Z75" s="37" t="e">
        <f t="shared" si="72"/>
        <v>#REF!</v>
      </c>
      <c r="AA75" s="249">
        <v>111380</v>
      </c>
      <c r="AB75" s="242">
        <v>33720</v>
      </c>
      <c r="AC75" s="253">
        <f t="shared" si="76"/>
        <v>145100</v>
      </c>
      <c r="AD75" s="245">
        <f t="shared" si="77"/>
        <v>139225</v>
      </c>
      <c r="AE75" s="326"/>
      <c r="AF75" s="336">
        <f>ROUND(AE75/1450,0)</f>
        <v>0</v>
      </c>
      <c r="AG75" s="260"/>
      <c r="AH75" s="275"/>
      <c r="AI75" s="343"/>
      <c r="AJ75" s="330">
        <f t="shared" si="78"/>
        <v>139225</v>
      </c>
      <c r="AK75" s="143">
        <f t="shared" si="79"/>
        <v>27845</v>
      </c>
      <c r="AL75" s="125">
        <f>AF75-'проезд Лизе к бюджету 2018'!B76</f>
        <v>0</v>
      </c>
      <c r="AM75" s="200">
        <f t="shared" si="89"/>
        <v>27845</v>
      </c>
      <c r="AN75" s="200">
        <f t="shared" si="90"/>
        <v>-33720</v>
      </c>
      <c r="AO75" s="200">
        <f t="shared" si="91"/>
        <v>-5875</v>
      </c>
      <c r="AP75" s="311">
        <f t="shared" si="80"/>
        <v>27900.000000000004</v>
      </c>
      <c r="AQ75" s="311">
        <f t="shared" si="81"/>
        <v>-33720</v>
      </c>
      <c r="AR75" s="312">
        <f t="shared" si="82"/>
        <v>-5819.9999999999964</v>
      </c>
      <c r="AS75" s="312">
        <f t="shared" si="92"/>
        <v>-5819.9999999999964</v>
      </c>
      <c r="AT75" s="317"/>
      <c r="AU75">
        <v>0</v>
      </c>
      <c r="AW75" s="279">
        <f t="shared" si="62"/>
        <v>139225</v>
      </c>
      <c r="AX75" s="280">
        <f t="shared" si="93"/>
        <v>139225</v>
      </c>
      <c r="AY75" s="285">
        <f t="shared" si="83"/>
        <v>0</v>
      </c>
      <c r="AZ75" s="296">
        <f t="shared" si="84"/>
        <v>0</v>
      </c>
      <c r="BA75" s="348">
        <f>ROUND(AZ75,0)*12</f>
        <v>0</v>
      </c>
      <c r="BB75" s="292">
        <v>1450</v>
      </c>
      <c r="BC75" s="303">
        <f t="shared" si="85"/>
        <v>0</v>
      </c>
      <c r="BD75" s="298">
        <f t="shared" si="86"/>
        <v>0</v>
      </c>
      <c r="BE75" s="271">
        <f t="shared" si="87"/>
        <v>0</v>
      </c>
      <c r="BG75" s="37">
        <f t="shared" si="94"/>
        <v>139225</v>
      </c>
    </row>
    <row r="76" spans="1:59" s="35" customFormat="1" ht="30.6" customHeight="1" thickBot="1" x14ac:dyDescent="0.35">
      <c r="A76" s="30"/>
      <c r="B76" s="268" t="s">
        <v>91</v>
      </c>
      <c r="C76" s="31">
        <f t="shared" ref="C76:T76" si="96">SUM(C4:C75)</f>
        <v>120</v>
      </c>
      <c r="D76" s="94">
        <f>SUM(D4:D75)</f>
        <v>3824</v>
      </c>
      <c r="E76" s="94">
        <f>SUM(E4:E75)</f>
        <v>3964</v>
      </c>
      <c r="F76" s="103">
        <f>E76-D76</f>
        <v>140</v>
      </c>
      <c r="G76" s="32">
        <f t="shared" si="96"/>
        <v>808</v>
      </c>
      <c r="H76" s="32">
        <f>SUM(H4:H75)</f>
        <v>772</v>
      </c>
      <c r="I76" s="105">
        <f>H76-G76</f>
        <v>-36</v>
      </c>
      <c r="J76" s="32">
        <f t="shared" si="96"/>
        <v>793</v>
      </c>
      <c r="K76" s="100">
        <f>SUM(K4:K75)</f>
        <v>824</v>
      </c>
      <c r="L76" s="169">
        <f>K76-H76</f>
        <v>52</v>
      </c>
      <c r="M76" s="153">
        <f t="shared" si="96"/>
        <v>723</v>
      </c>
      <c r="N76" s="32">
        <f t="shared" si="96"/>
        <v>678</v>
      </c>
      <c r="O76" s="33">
        <f t="shared" si="96"/>
        <v>18878910</v>
      </c>
      <c r="P76" s="33">
        <f t="shared" si="96"/>
        <v>5701430.8200000003</v>
      </c>
      <c r="Q76" s="33">
        <f t="shared" si="96"/>
        <v>24580340.819999985</v>
      </c>
      <c r="R76" s="34">
        <f t="shared" si="96"/>
        <v>1</v>
      </c>
      <c r="S76" s="34" t="e">
        <f t="shared" si="96"/>
        <v>#REF!</v>
      </c>
      <c r="T76" s="34" t="e">
        <f t="shared" si="96"/>
        <v>#REF!</v>
      </c>
      <c r="U76" s="34" t="e">
        <f>SUM(U4:U75)</f>
        <v>#REF!</v>
      </c>
      <c r="V76" s="34" t="e">
        <f>SUM(V4:V75)</f>
        <v>#REF!</v>
      </c>
      <c r="W76" s="34" t="e">
        <f>SUM(W4:W75)</f>
        <v>#REF!</v>
      </c>
      <c r="X76" s="82" t="e">
        <f>SUM(X4:X75)</f>
        <v>#REF!</v>
      </c>
      <c r="AA76" s="251">
        <f>SUM(AA4:AA75)</f>
        <v>17536943</v>
      </c>
      <c r="AB76" s="252">
        <f>SUM(AB4:AB75)</f>
        <v>5296157</v>
      </c>
      <c r="AC76" s="255">
        <f>SUM(AC4:AC75)</f>
        <v>22833100</v>
      </c>
      <c r="AD76" s="247">
        <f>SUM(AD4:AD75)</f>
        <v>20131935</v>
      </c>
      <c r="AE76" s="328"/>
      <c r="AF76" s="344">
        <f t="shared" ref="AF76:AS76" si="97">SUM(AF4:AF75)</f>
        <v>1007</v>
      </c>
      <c r="AG76" s="345">
        <f t="shared" si="97"/>
        <v>820897.14000000036</v>
      </c>
      <c r="AH76" s="345">
        <f t="shared" si="97"/>
        <v>1022488.1400000004</v>
      </c>
      <c r="AI76" s="346">
        <f t="shared" si="97"/>
        <v>5693.76</v>
      </c>
      <c r="AJ76" s="331">
        <f t="shared" si="97"/>
        <v>22614573.139999997</v>
      </c>
      <c r="AK76" s="201">
        <f t="shared" si="97"/>
        <v>5077630.1400000006</v>
      </c>
      <c r="AL76" s="201">
        <f t="shared" si="97"/>
        <v>862</v>
      </c>
      <c r="AM76" s="201">
        <f t="shared" si="97"/>
        <v>5290463.24</v>
      </c>
      <c r="AN76" s="201">
        <f t="shared" si="97"/>
        <v>-5290463.24</v>
      </c>
      <c r="AO76" s="201">
        <f t="shared" si="97"/>
        <v>0</v>
      </c>
      <c r="AP76" s="314">
        <f t="shared" si="97"/>
        <v>5293000</v>
      </c>
      <c r="AQ76" s="314">
        <f t="shared" si="97"/>
        <v>-5290463.24</v>
      </c>
      <c r="AR76" s="314">
        <f t="shared" si="97"/>
        <v>2536.7599999999547</v>
      </c>
      <c r="AS76" s="314">
        <f t="shared" si="97"/>
        <v>2536.7599999999547</v>
      </c>
      <c r="AT76" s="318"/>
      <c r="AU76" s="184">
        <f t="shared" ref="AU76:BA76" si="98">SUM(AU4:AU75)</f>
        <v>-7197.199999999837</v>
      </c>
      <c r="AV76" s="324">
        <f t="shared" si="98"/>
        <v>0</v>
      </c>
      <c r="AW76" s="324">
        <f t="shared" si="98"/>
        <v>22833100</v>
      </c>
      <c r="AX76" s="142">
        <f t="shared" si="98"/>
        <v>20131935</v>
      </c>
      <c r="AY76" s="286">
        <f t="shared" si="98"/>
        <v>2701165</v>
      </c>
      <c r="AZ76" s="197">
        <f t="shared" si="98"/>
        <v>155.23936781609194</v>
      </c>
      <c r="BA76" s="350">
        <f t="shared" si="98"/>
        <v>1863</v>
      </c>
      <c r="BB76" s="304"/>
      <c r="BC76" s="305">
        <f>SUM(BC4:BC75)</f>
        <v>2701350</v>
      </c>
      <c r="BD76" s="299">
        <f>SUM(BD4:BD75)</f>
        <v>-185</v>
      </c>
      <c r="BE76" s="299">
        <f>SUM(BE4:BE75)</f>
        <v>-0.12758620689655173</v>
      </c>
      <c r="BF76" s="299">
        <f>SUM(BF4:BF75)</f>
        <v>0</v>
      </c>
      <c r="BG76" s="299">
        <f>SUM(BG4:BG75)</f>
        <v>22833285</v>
      </c>
    </row>
    <row r="77" spans="1:59" x14ac:dyDescent="0.3">
      <c r="M77" s="38">
        <f>M76-M70-M69-M68</f>
        <v>692</v>
      </c>
      <c r="AF77" s="124">
        <f>AF76-AF66-AF56-AF53-AF51-AF44-AF39-AF17-AF13</f>
        <v>879</v>
      </c>
      <c r="AN77" s="37">
        <f>AN76+AB76</f>
        <v>5693.7599999997765</v>
      </c>
    </row>
    <row r="78" spans="1:59" x14ac:dyDescent="0.3">
      <c r="M78" s="7" t="s">
        <v>160</v>
      </c>
      <c r="AF78" s="179" t="s">
        <v>159</v>
      </c>
      <c r="AW78" s="281">
        <f>AW76-AC76</f>
        <v>0</v>
      </c>
      <c r="BG78" s="323">
        <f>BG76+BD76</f>
        <v>22833100</v>
      </c>
    </row>
    <row r="79" spans="1:59" x14ac:dyDescent="0.3">
      <c r="AX79" s="36"/>
    </row>
    <row r="80" spans="1:59" x14ac:dyDescent="0.3">
      <c r="AN80" s="307">
        <f>AM76+AN76</f>
        <v>0</v>
      </c>
    </row>
    <row r="81" spans="30:55" x14ac:dyDescent="0.3">
      <c r="AD81" s="238">
        <v>20131935</v>
      </c>
      <c r="AY81" s="287"/>
      <c r="BA81" s="351">
        <f>AX76+BC76</f>
        <v>22833285</v>
      </c>
      <c r="BC81" s="352"/>
    </row>
    <row r="82" spans="30:55" x14ac:dyDescent="0.3">
      <c r="AD82" s="266">
        <f>AD81-AD34+334140</f>
        <v>20076245</v>
      </c>
      <c r="AY82" s="287">
        <f>AX76+BC76</f>
        <v>22833285</v>
      </c>
    </row>
    <row r="83" spans="30:55" x14ac:dyDescent="0.3">
      <c r="AY83" s="287">
        <f>AW76-AY82</f>
        <v>-185</v>
      </c>
    </row>
  </sheetData>
  <autoFilter ref="A3:AS76" xr:uid="{00000000-0009-0000-0000-00000A000000}"/>
  <sortState xmlns:xlrd2="http://schemas.microsoft.com/office/spreadsheetml/2017/richdata2" ref="A4:BD75">
    <sortCondition ref="B4:B75"/>
  </sortState>
  <mergeCells count="9">
    <mergeCell ref="AS1:AS3"/>
    <mergeCell ref="AA2:AB2"/>
    <mergeCell ref="AM2:AN2"/>
    <mergeCell ref="AP2:AQ2"/>
    <mergeCell ref="R1:W1"/>
    <mergeCell ref="AA1:AB1"/>
    <mergeCell ref="AC1:AC3"/>
    <mergeCell ref="AO1:AO3"/>
    <mergeCell ref="AR1:AR3"/>
  </mergeCells>
  <conditionalFormatting sqref="AL4:AL75">
    <cfRule type="cellIs" dxfId="0" priority="1" operator="greaterThan">
      <formula>0</formula>
    </cfRule>
  </conditionalFormatting>
  <printOptions verticalCentered="1"/>
  <pageMargins left="0.70866141732283472" right="0.70866141732283472" top="0" bottom="0" header="0.31496062992125984" footer="0.31496062992125984"/>
  <pageSetup paperSize="9" scale="23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13"/>
  <sheetViews>
    <sheetView zoomScale="83" zoomScaleNormal="83" workbookViewId="0">
      <selection activeCell="B44" sqref="A44:XFD44"/>
    </sheetView>
  </sheetViews>
  <sheetFormatPr defaultRowHeight="14.4" x14ac:dyDescent="0.3"/>
  <cols>
    <col min="1" max="1" width="7.44140625" customWidth="1"/>
    <col min="8" max="8" width="10.6640625" customWidth="1"/>
    <col min="9" max="9" width="15.33203125" style="389" customWidth="1"/>
    <col min="14" max="15" width="15.33203125" customWidth="1"/>
    <col min="16" max="16" width="13.109375" customWidth="1"/>
    <col min="17" max="17" width="14" customWidth="1"/>
  </cols>
  <sheetData>
    <row r="2" spans="1:17" ht="15" thickBot="1" x14ac:dyDescent="0.35">
      <c r="C2">
        <v>1450</v>
      </c>
      <c r="D2">
        <f>10547*2.5</f>
        <v>26367.5</v>
      </c>
      <c r="I2" s="389" t="s">
        <v>171</v>
      </c>
      <c r="K2">
        <v>1450</v>
      </c>
      <c r="L2">
        <f>11138*2.5</f>
        <v>27845</v>
      </c>
      <c r="N2" s="366"/>
      <c r="O2" s="366"/>
      <c r="P2" s="366"/>
      <c r="Q2" t="s">
        <v>172</v>
      </c>
    </row>
    <row r="3" spans="1:17" x14ac:dyDescent="0.3">
      <c r="A3" s="356"/>
      <c r="B3" s="620">
        <v>2017</v>
      </c>
      <c r="C3" s="621"/>
      <c r="D3" s="621"/>
      <c r="E3" s="403"/>
      <c r="F3" s="627">
        <v>2017</v>
      </c>
      <c r="G3" s="628"/>
      <c r="H3" s="629"/>
      <c r="I3" s="388"/>
      <c r="J3" s="622">
        <v>2018</v>
      </c>
      <c r="K3" s="623"/>
      <c r="L3" s="623"/>
      <c r="M3" s="398"/>
      <c r="N3" s="624">
        <v>2018</v>
      </c>
      <c r="O3" s="625"/>
      <c r="P3" s="626"/>
    </row>
    <row r="4" spans="1:17" s="362" customFormat="1" x14ac:dyDescent="0.3">
      <c r="A4" s="360"/>
      <c r="B4" s="361" t="s">
        <v>168</v>
      </c>
      <c r="C4" s="355" t="s">
        <v>169</v>
      </c>
      <c r="D4" s="360" t="s">
        <v>170</v>
      </c>
      <c r="E4" s="404" t="s">
        <v>175</v>
      </c>
      <c r="F4" s="367" t="s">
        <v>168</v>
      </c>
      <c r="G4" s="368" t="s">
        <v>169</v>
      </c>
      <c r="H4" s="369" t="s">
        <v>170</v>
      </c>
      <c r="I4" s="388"/>
      <c r="J4" s="370" t="s">
        <v>168</v>
      </c>
      <c r="K4" s="371" t="s">
        <v>169</v>
      </c>
      <c r="L4" s="372" t="s">
        <v>170</v>
      </c>
      <c r="M4" s="399" t="s">
        <v>175</v>
      </c>
      <c r="N4" s="370" t="s">
        <v>168</v>
      </c>
      <c r="O4" s="371" t="s">
        <v>169</v>
      </c>
      <c r="P4" s="373" t="s">
        <v>170</v>
      </c>
    </row>
    <row r="5" spans="1:17" x14ac:dyDescent="0.3">
      <c r="A5" s="356" t="s">
        <v>166</v>
      </c>
      <c r="B5" s="357">
        <v>511</v>
      </c>
      <c r="C5" s="2">
        <v>678</v>
      </c>
      <c r="D5" s="356">
        <v>32</v>
      </c>
      <c r="E5" s="405">
        <f>SUM(B5:D5)</f>
        <v>1221</v>
      </c>
      <c r="F5" s="392">
        <f>B5*D2</f>
        <v>13473792.5</v>
      </c>
      <c r="G5" s="391">
        <f>C5*D2</f>
        <v>17877165</v>
      </c>
      <c r="H5" s="393">
        <f>D5*D2</f>
        <v>843760</v>
      </c>
      <c r="I5" s="397">
        <f>SUM(F5:H5)</f>
        <v>32194717.5</v>
      </c>
      <c r="J5" s="374">
        <v>502</v>
      </c>
      <c r="K5" s="375">
        <v>692</v>
      </c>
      <c r="L5" s="376">
        <v>31</v>
      </c>
      <c r="M5" s="400">
        <f>SUM(J5:L5)</f>
        <v>1225</v>
      </c>
      <c r="N5" s="382">
        <f>J5*L2</f>
        <v>13978190</v>
      </c>
      <c r="O5" s="383">
        <f>K5*L2</f>
        <v>19268740</v>
      </c>
      <c r="P5" s="384">
        <f>L5*L2</f>
        <v>863195</v>
      </c>
      <c r="Q5" s="364">
        <f>SUM(N5:P5)</f>
        <v>34110125</v>
      </c>
    </row>
    <row r="6" spans="1:17" ht="15" thickBot="1" x14ac:dyDescent="0.35">
      <c r="A6" s="356" t="s">
        <v>167</v>
      </c>
      <c r="B6" s="358">
        <v>33</v>
      </c>
      <c r="C6" s="359">
        <f>130-8-11</f>
        <v>111</v>
      </c>
      <c r="D6" s="363">
        <v>8</v>
      </c>
      <c r="E6" s="406">
        <f>SUM(B6:D6)</f>
        <v>152</v>
      </c>
      <c r="F6" s="394">
        <f>B6*C2*12</f>
        <v>574200</v>
      </c>
      <c r="G6" s="395">
        <f>C6*C2*12</f>
        <v>1931400</v>
      </c>
      <c r="H6" s="396">
        <f>D6*12*C2</f>
        <v>139200</v>
      </c>
      <c r="I6" s="397">
        <f>SUM(F6:H6)-8317.5</f>
        <v>2636482.5</v>
      </c>
      <c r="J6" s="401">
        <v>114</v>
      </c>
      <c r="K6" s="377">
        <f>154-8</f>
        <v>146</v>
      </c>
      <c r="L6" s="378">
        <v>8</v>
      </c>
      <c r="M6" s="402">
        <f>SUM(J6:L6)</f>
        <v>268</v>
      </c>
      <c r="N6" s="385">
        <f>J6*12*K2</f>
        <v>1983600</v>
      </c>
      <c r="O6" s="386">
        <f>K6*12*K2</f>
        <v>2540400</v>
      </c>
      <c r="P6" s="387">
        <f>L6*12*K2</f>
        <v>139200</v>
      </c>
      <c r="Q6" s="364">
        <f>SUM(N6:P6)+5530</f>
        <v>4668730</v>
      </c>
    </row>
    <row r="7" spans="1:17" x14ac:dyDescent="0.3">
      <c r="I7" s="390">
        <f>SUM(I5:I6)</f>
        <v>34831200</v>
      </c>
      <c r="N7" s="364"/>
      <c r="O7" s="364"/>
      <c r="P7" s="364">
        <f>SUM(P5:P6)</f>
        <v>1002395</v>
      </c>
      <c r="Q7" s="364">
        <f>SUM(Q5:Q6)</f>
        <v>38778855</v>
      </c>
    </row>
    <row r="8" spans="1:17" x14ac:dyDescent="0.3">
      <c r="B8" t="s">
        <v>173</v>
      </c>
      <c r="K8" t="s">
        <v>174</v>
      </c>
      <c r="Q8" s="364"/>
    </row>
    <row r="9" spans="1:17" x14ac:dyDescent="0.3">
      <c r="I9" s="365">
        <v>34831200</v>
      </c>
      <c r="P9" s="379">
        <v>979300</v>
      </c>
      <c r="Q9" s="365">
        <v>38778855</v>
      </c>
    </row>
    <row r="10" spans="1:17" x14ac:dyDescent="0.3">
      <c r="I10" s="389">
        <f>I9-I7</f>
        <v>0</v>
      </c>
      <c r="P10" s="380">
        <f>P9-P7</f>
        <v>-23095</v>
      </c>
      <c r="Q10" s="364">
        <f>Q9-Q7</f>
        <v>0</v>
      </c>
    </row>
    <row r="13" spans="1:17" x14ac:dyDescent="0.3">
      <c r="Q13" s="381">
        <f>Q10/12/K2</f>
        <v>0</v>
      </c>
    </row>
  </sheetData>
  <mergeCells count="4">
    <mergeCell ref="B3:D3"/>
    <mergeCell ref="J3:L3"/>
    <mergeCell ref="N3:P3"/>
    <mergeCell ref="F3:H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81"/>
  <sheetViews>
    <sheetView workbookViewId="0">
      <selection activeCell="B44" sqref="A44:XFD44"/>
    </sheetView>
  </sheetViews>
  <sheetFormatPr defaultColWidth="54" defaultRowHeight="17.25" customHeight="1" x14ac:dyDescent="0.3"/>
  <cols>
    <col min="1" max="1" width="15.44140625" customWidth="1"/>
    <col min="2" max="4" width="17" customWidth="1"/>
    <col min="5" max="5" width="18.5546875" customWidth="1"/>
    <col min="6" max="6" width="16" style="362" customWidth="1"/>
    <col min="7" max="7" width="10.33203125" style="362" customWidth="1"/>
    <col min="8" max="8" width="16.6640625" customWidth="1"/>
    <col min="9" max="9" width="16.109375" customWidth="1"/>
    <col min="10" max="10" width="15.5546875" customWidth="1"/>
    <col min="11" max="11" width="27.33203125" customWidth="1"/>
    <col min="12" max="12" width="6.44140625" customWidth="1"/>
    <col min="13" max="13" width="9.44140625" customWidth="1"/>
    <col min="14" max="14" width="10.6640625" customWidth="1"/>
    <col min="15" max="15" width="9" customWidth="1"/>
    <col min="16" max="16" width="11.5546875" customWidth="1"/>
  </cols>
  <sheetData>
    <row r="1" spans="1:16" ht="17.25" customHeight="1" x14ac:dyDescent="0.3">
      <c r="B1">
        <v>27845</v>
      </c>
      <c r="C1">
        <v>1450</v>
      </c>
      <c r="D1">
        <v>4</v>
      </c>
      <c r="H1" t="s">
        <v>202</v>
      </c>
    </row>
    <row r="2" spans="1:16" ht="51" customHeight="1" x14ac:dyDescent="0.3">
      <c r="A2" s="445" t="s">
        <v>184</v>
      </c>
      <c r="B2" s="448">
        <v>212</v>
      </c>
      <c r="C2" s="449">
        <v>262</v>
      </c>
      <c r="D2" s="455" t="s">
        <v>186</v>
      </c>
      <c r="E2" s="456" t="s">
        <v>187</v>
      </c>
      <c r="F2" s="459" t="s">
        <v>200</v>
      </c>
      <c r="G2" s="459" t="s">
        <v>189</v>
      </c>
      <c r="H2" s="450" t="s">
        <v>188</v>
      </c>
      <c r="I2" s="453" t="s">
        <v>190</v>
      </c>
      <c r="J2" s="453" t="s">
        <v>191</v>
      </c>
    </row>
    <row r="3" spans="1:16" ht="17.25" customHeight="1" x14ac:dyDescent="0.3">
      <c r="A3" s="3">
        <v>13</v>
      </c>
      <c r="B3" s="446">
        <v>69600</v>
      </c>
      <c r="C3" s="447">
        <v>306295</v>
      </c>
      <c r="D3" s="457">
        <v>46310.8</v>
      </c>
      <c r="E3" s="458">
        <v>306295</v>
      </c>
      <c r="F3" s="461">
        <v>5800</v>
      </c>
      <c r="G3" s="355">
        <f>F3/$C$1</f>
        <v>4</v>
      </c>
      <c r="H3" s="2">
        <f>G3*$C$1*$D$1</f>
        <v>23200</v>
      </c>
      <c r="I3" s="454">
        <f>D3+H3-B3</f>
        <v>-89.19999999999709</v>
      </c>
      <c r="J3" s="454">
        <f>E3-C3</f>
        <v>0</v>
      </c>
      <c r="L3">
        <v>13</v>
      </c>
      <c r="M3">
        <v>28</v>
      </c>
      <c r="N3">
        <f>M3/8</f>
        <v>3.5</v>
      </c>
      <c r="O3">
        <f>A3-L3</f>
        <v>0</v>
      </c>
      <c r="P3">
        <f>G3-N3</f>
        <v>0.5</v>
      </c>
    </row>
    <row r="4" spans="1:16" ht="17.25" customHeight="1" x14ac:dyDescent="0.3">
      <c r="A4" s="3">
        <v>14</v>
      </c>
      <c r="B4" s="446">
        <v>0</v>
      </c>
      <c r="C4" s="447">
        <v>222760</v>
      </c>
      <c r="D4" s="457"/>
      <c r="E4" s="458">
        <v>222760</v>
      </c>
      <c r="F4" s="463"/>
      <c r="G4" s="355">
        <f t="shared" ref="G4:G67" si="0">F4/$C$1</f>
        <v>0</v>
      </c>
      <c r="H4" s="2">
        <f t="shared" ref="H4:H67" si="1">G4*$C$1*$D$1</f>
        <v>0</v>
      </c>
      <c r="I4" s="454">
        <f t="shared" ref="I4:I67" si="2">D4+H4-B4</f>
        <v>0</v>
      </c>
      <c r="J4" s="454">
        <f t="shared" ref="J4:J67" si="3">E4-C4</f>
        <v>0</v>
      </c>
      <c r="L4">
        <v>14</v>
      </c>
      <c r="M4">
        <v>0</v>
      </c>
      <c r="N4">
        <f t="shared" ref="N4:N67" si="4">M4/8</f>
        <v>0</v>
      </c>
      <c r="O4">
        <f t="shared" ref="O4:O60" si="5">A4-L4</f>
        <v>0</v>
      </c>
      <c r="P4">
        <f t="shared" ref="P4:P60" si="6">G4-N4</f>
        <v>0</v>
      </c>
    </row>
    <row r="5" spans="1:16" ht="17.25" customHeight="1" x14ac:dyDescent="0.3">
      <c r="A5" s="3">
        <v>17</v>
      </c>
      <c r="B5" s="446">
        <v>100050</v>
      </c>
      <c r="C5" s="447">
        <v>417675</v>
      </c>
      <c r="D5" s="457">
        <v>69557</v>
      </c>
      <c r="E5" s="458">
        <v>417675</v>
      </c>
      <c r="F5" s="461">
        <v>8700</v>
      </c>
      <c r="G5" s="355">
        <f t="shared" si="0"/>
        <v>6</v>
      </c>
      <c r="H5" s="2">
        <f t="shared" si="1"/>
        <v>34800</v>
      </c>
      <c r="I5" s="454">
        <f>D5+H5-B5</f>
        <v>4307</v>
      </c>
      <c r="J5" s="454">
        <f t="shared" si="3"/>
        <v>0</v>
      </c>
      <c r="L5">
        <v>17</v>
      </c>
      <c r="M5">
        <v>39</v>
      </c>
      <c r="N5">
        <f t="shared" si="4"/>
        <v>4.875</v>
      </c>
      <c r="O5">
        <f t="shared" si="5"/>
        <v>0</v>
      </c>
      <c r="P5">
        <f t="shared" si="6"/>
        <v>1.125</v>
      </c>
    </row>
    <row r="6" spans="1:16" ht="17.25" customHeight="1" x14ac:dyDescent="0.3">
      <c r="A6" s="3">
        <v>20</v>
      </c>
      <c r="B6" s="446">
        <v>75400</v>
      </c>
      <c r="C6" s="447">
        <v>278450</v>
      </c>
      <c r="D6" s="457">
        <v>46264.1</v>
      </c>
      <c r="E6" s="458">
        <v>278450</v>
      </c>
      <c r="F6" s="461">
        <v>5800</v>
      </c>
      <c r="G6" s="355">
        <f t="shared" si="0"/>
        <v>4</v>
      </c>
      <c r="H6" s="2">
        <f t="shared" si="1"/>
        <v>23200</v>
      </c>
      <c r="I6" s="454">
        <f t="shared" si="2"/>
        <v>-5935.8999999999942</v>
      </c>
      <c r="J6" s="454">
        <f t="shared" si="3"/>
        <v>0</v>
      </c>
      <c r="L6">
        <v>20</v>
      </c>
      <c r="M6">
        <v>32</v>
      </c>
      <c r="N6">
        <f t="shared" si="4"/>
        <v>4</v>
      </c>
      <c r="O6">
        <f t="shared" si="5"/>
        <v>0</v>
      </c>
      <c r="P6">
        <f t="shared" si="6"/>
        <v>0</v>
      </c>
    </row>
    <row r="7" spans="1:16" ht="17.25" customHeight="1" x14ac:dyDescent="0.3">
      <c r="A7" s="3">
        <v>23</v>
      </c>
      <c r="B7" s="446">
        <v>46400</v>
      </c>
      <c r="C7" s="447">
        <v>361985</v>
      </c>
      <c r="D7" s="457">
        <v>23091.599999999999</v>
      </c>
      <c r="E7" s="458">
        <v>361985</v>
      </c>
      <c r="F7" s="461">
        <v>2900</v>
      </c>
      <c r="G7" s="355">
        <f t="shared" si="0"/>
        <v>2</v>
      </c>
      <c r="H7" s="2">
        <f t="shared" si="1"/>
        <v>11600</v>
      </c>
      <c r="I7" s="454">
        <f t="shared" si="2"/>
        <v>-11708.400000000001</v>
      </c>
      <c r="J7" s="454">
        <f t="shared" si="3"/>
        <v>0</v>
      </c>
      <c r="L7">
        <v>23</v>
      </c>
      <c r="M7">
        <v>22</v>
      </c>
      <c r="N7">
        <f t="shared" si="4"/>
        <v>2.75</v>
      </c>
      <c r="O7">
        <f t="shared" si="5"/>
        <v>0</v>
      </c>
      <c r="P7">
        <f t="shared" si="6"/>
        <v>-0.75</v>
      </c>
    </row>
    <row r="8" spans="1:16" ht="17.25" customHeight="1" x14ac:dyDescent="0.3">
      <c r="A8" s="3">
        <v>26</v>
      </c>
      <c r="B8" s="446">
        <v>18850</v>
      </c>
      <c r="C8" s="447">
        <v>361985</v>
      </c>
      <c r="D8" s="457">
        <v>11458.7</v>
      </c>
      <c r="E8" s="458">
        <v>361985</v>
      </c>
      <c r="F8" s="461">
        <v>1450</v>
      </c>
      <c r="G8" s="355">
        <f t="shared" si="0"/>
        <v>1</v>
      </c>
      <c r="H8" s="2">
        <f t="shared" si="1"/>
        <v>5800</v>
      </c>
      <c r="I8" s="454">
        <f t="shared" si="2"/>
        <v>-1591.2999999999993</v>
      </c>
      <c r="J8" s="454">
        <f t="shared" si="3"/>
        <v>0</v>
      </c>
      <c r="K8" s="1">
        <f>K10-K9</f>
        <v>-1354.0999999999985</v>
      </c>
      <c r="L8">
        <v>26</v>
      </c>
      <c r="M8">
        <v>8</v>
      </c>
      <c r="N8">
        <f t="shared" si="4"/>
        <v>1</v>
      </c>
      <c r="O8">
        <f t="shared" si="5"/>
        <v>0</v>
      </c>
      <c r="P8">
        <f t="shared" si="6"/>
        <v>0</v>
      </c>
    </row>
    <row r="9" spans="1:16" ht="17.25" customHeight="1" x14ac:dyDescent="0.3">
      <c r="A9" s="3">
        <v>34</v>
      </c>
      <c r="B9" s="446">
        <v>31900</v>
      </c>
      <c r="C9" s="447">
        <v>473365</v>
      </c>
      <c r="D9" s="457">
        <v>18775.8</v>
      </c>
      <c r="E9" s="458">
        <v>445520</v>
      </c>
      <c r="F9" s="461">
        <v>1450</v>
      </c>
      <c r="G9" s="355">
        <f t="shared" si="0"/>
        <v>1</v>
      </c>
      <c r="H9" s="2">
        <f t="shared" si="1"/>
        <v>5800</v>
      </c>
      <c r="I9" s="454">
        <f t="shared" si="2"/>
        <v>-7324.2000000000007</v>
      </c>
      <c r="J9" s="454">
        <f t="shared" si="3"/>
        <v>-27845</v>
      </c>
      <c r="K9">
        <f>G10*C1</f>
        <v>4350</v>
      </c>
      <c r="L9">
        <v>34</v>
      </c>
      <c r="M9">
        <v>12</v>
      </c>
      <c r="N9">
        <f t="shared" si="4"/>
        <v>1.5</v>
      </c>
      <c r="O9">
        <f t="shared" si="5"/>
        <v>0</v>
      </c>
      <c r="P9">
        <f t="shared" si="6"/>
        <v>-0.5</v>
      </c>
    </row>
    <row r="10" spans="1:16" ht="17.25" customHeight="1" x14ac:dyDescent="0.3">
      <c r="A10" s="3">
        <v>39</v>
      </c>
      <c r="B10" s="446">
        <v>37700</v>
      </c>
      <c r="C10" s="447">
        <v>222760</v>
      </c>
      <c r="D10" s="457">
        <v>34704.1</v>
      </c>
      <c r="E10" s="458">
        <v>222760</v>
      </c>
      <c r="F10" s="461">
        <v>4350</v>
      </c>
      <c r="G10" s="355">
        <f t="shared" si="0"/>
        <v>3</v>
      </c>
      <c r="H10" s="2">
        <f t="shared" si="1"/>
        <v>17400</v>
      </c>
      <c r="I10" s="454">
        <f t="shared" si="2"/>
        <v>14404.099999999999</v>
      </c>
      <c r="J10" s="454">
        <f t="shared" si="3"/>
        <v>0</v>
      </c>
      <c r="K10" s="1">
        <f>B10-D10</f>
        <v>2995.9000000000015</v>
      </c>
      <c r="L10">
        <v>39</v>
      </c>
      <c r="M10">
        <v>11</v>
      </c>
      <c r="N10">
        <f t="shared" si="4"/>
        <v>1.375</v>
      </c>
      <c r="O10">
        <f t="shared" si="5"/>
        <v>0</v>
      </c>
      <c r="P10">
        <f t="shared" si="6"/>
        <v>1.625</v>
      </c>
    </row>
    <row r="11" spans="1:16" ht="17.25" customHeight="1" x14ac:dyDescent="0.3">
      <c r="A11" s="3">
        <v>268</v>
      </c>
      <c r="B11" s="446">
        <v>17400</v>
      </c>
      <c r="C11" s="447">
        <v>250605</v>
      </c>
      <c r="D11" s="457">
        <v>11535.8</v>
      </c>
      <c r="E11" s="458">
        <v>250605</v>
      </c>
      <c r="F11" s="461">
        <v>1450</v>
      </c>
      <c r="G11" s="355">
        <f t="shared" si="0"/>
        <v>1</v>
      </c>
      <c r="H11" s="2">
        <f t="shared" si="1"/>
        <v>5800</v>
      </c>
      <c r="I11" s="454">
        <f t="shared" si="2"/>
        <v>-64.200000000000728</v>
      </c>
      <c r="J11" s="454">
        <f t="shared" si="3"/>
        <v>0</v>
      </c>
      <c r="L11">
        <v>268</v>
      </c>
      <c r="M11">
        <v>7</v>
      </c>
      <c r="N11">
        <f t="shared" si="4"/>
        <v>0.875</v>
      </c>
      <c r="O11">
        <f t="shared" si="5"/>
        <v>0</v>
      </c>
      <c r="P11">
        <f t="shared" si="6"/>
        <v>0.125</v>
      </c>
    </row>
    <row r="12" spans="1:16" ht="17.25" customHeight="1" x14ac:dyDescent="0.3">
      <c r="A12" s="3">
        <v>323</v>
      </c>
      <c r="B12" s="446">
        <v>34800</v>
      </c>
      <c r="C12" s="447">
        <v>334140</v>
      </c>
      <c r="D12" s="457">
        <v>20299</v>
      </c>
      <c r="E12" s="458">
        <v>334140</v>
      </c>
      <c r="F12" s="463">
        <v>2899</v>
      </c>
      <c r="G12" s="355">
        <v>2</v>
      </c>
      <c r="H12" s="2">
        <f>G12*$C$1*$D$1</f>
        <v>11600</v>
      </c>
      <c r="I12" s="454">
        <f>D12+H12-B12</f>
        <v>-2901</v>
      </c>
      <c r="J12" s="454">
        <f t="shared" si="3"/>
        <v>0</v>
      </c>
      <c r="K12" s="1">
        <f>B12-D12</f>
        <v>14501</v>
      </c>
      <c r="L12">
        <v>323</v>
      </c>
      <c r="M12">
        <v>16</v>
      </c>
      <c r="N12">
        <f t="shared" si="4"/>
        <v>2</v>
      </c>
      <c r="O12">
        <f t="shared" si="5"/>
        <v>0</v>
      </c>
      <c r="P12">
        <f t="shared" si="6"/>
        <v>0</v>
      </c>
    </row>
    <row r="13" spans="1:16" ht="17.25" customHeight="1" x14ac:dyDescent="0.3">
      <c r="A13" s="3">
        <v>326</v>
      </c>
      <c r="B13" s="446">
        <v>0</v>
      </c>
      <c r="C13" s="447">
        <v>83535</v>
      </c>
      <c r="D13" s="457"/>
      <c r="E13" s="458">
        <v>83535</v>
      </c>
      <c r="F13" s="463"/>
      <c r="G13" s="355">
        <f t="shared" si="0"/>
        <v>0</v>
      </c>
      <c r="H13" s="2">
        <f t="shared" si="1"/>
        <v>0</v>
      </c>
      <c r="I13" s="454">
        <f t="shared" si="2"/>
        <v>0</v>
      </c>
      <c r="J13" s="454">
        <f t="shared" si="3"/>
        <v>0</v>
      </c>
      <c r="L13">
        <v>326</v>
      </c>
      <c r="M13">
        <v>0</v>
      </c>
      <c r="N13">
        <f t="shared" si="4"/>
        <v>0</v>
      </c>
      <c r="O13">
        <f t="shared" si="5"/>
        <v>0</v>
      </c>
      <c r="P13">
        <f t="shared" si="6"/>
        <v>0</v>
      </c>
    </row>
    <row r="14" spans="1:16" ht="17.25" customHeight="1" x14ac:dyDescent="0.3">
      <c r="A14" s="3">
        <v>327</v>
      </c>
      <c r="B14" s="446">
        <v>52200</v>
      </c>
      <c r="C14" s="447">
        <v>334140</v>
      </c>
      <c r="D14" s="457">
        <v>34732.9</v>
      </c>
      <c r="E14" s="458">
        <v>334140</v>
      </c>
      <c r="F14" s="461">
        <v>4350</v>
      </c>
      <c r="G14" s="355">
        <f t="shared" si="0"/>
        <v>3</v>
      </c>
      <c r="H14" s="2">
        <f t="shared" si="1"/>
        <v>17400</v>
      </c>
      <c r="I14" s="454">
        <f t="shared" si="2"/>
        <v>-67.099999999998545</v>
      </c>
      <c r="J14" s="454">
        <f t="shared" si="3"/>
        <v>0</v>
      </c>
      <c r="L14">
        <v>327</v>
      </c>
      <c r="M14">
        <v>21</v>
      </c>
      <c r="N14">
        <f t="shared" si="4"/>
        <v>2.625</v>
      </c>
      <c r="O14">
        <f t="shared" si="5"/>
        <v>0</v>
      </c>
      <c r="P14">
        <f t="shared" si="6"/>
        <v>0.375</v>
      </c>
    </row>
    <row r="15" spans="1:16" ht="17.25" customHeight="1" x14ac:dyDescent="0.3">
      <c r="A15" s="3">
        <v>328</v>
      </c>
      <c r="B15" s="446">
        <v>13050</v>
      </c>
      <c r="C15" s="447">
        <v>306295</v>
      </c>
      <c r="D15" s="457">
        <v>11475.4</v>
      </c>
      <c r="E15" s="458">
        <v>306295</v>
      </c>
      <c r="F15" s="461">
        <v>1450</v>
      </c>
      <c r="G15" s="355">
        <f t="shared" si="0"/>
        <v>1</v>
      </c>
      <c r="H15" s="2">
        <f t="shared" si="1"/>
        <v>5800</v>
      </c>
      <c r="I15" s="454">
        <f t="shared" si="2"/>
        <v>4225.4000000000015</v>
      </c>
      <c r="J15" s="454">
        <f t="shared" si="3"/>
        <v>0</v>
      </c>
      <c r="L15">
        <v>328</v>
      </c>
      <c r="M15">
        <v>4</v>
      </c>
      <c r="N15">
        <f t="shared" si="4"/>
        <v>0.5</v>
      </c>
      <c r="O15">
        <f t="shared" si="5"/>
        <v>0</v>
      </c>
      <c r="P15">
        <f t="shared" si="6"/>
        <v>0.5</v>
      </c>
    </row>
    <row r="16" spans="1:16" ht="17.25" customHeight="1" x14ac:dyDescent="0.3">
      <c r="A16" s="3">
        <v>329</v>
      </c>
      <c r="B16" s="446">
        <v>0</v>
      </c>
      <c r="C16" s="447">
        <v>278450</v>
      </c>
      <c r="D16" s="457"/>
      <c r="E16" s="458">
        <v>250605</v>
      </c>
      <c r="F16" s="463"/>
      <c r="G16" s="355">
        <f t="shared" si="0"/>
        <v>0</v>
      </c>
      <c r="H16" s="2">
        <f t="shared" si="1"/>
        <v>0</v>
      </c>
      <c r="I16" s="454">
        <f t="shared" si="2"/>
        <v>0</v>
      </c>
      <c r="J16" s="454">
        <f t="shared" si="3"/>
        <v>-27845</v>
      </c>
      <c r="L16">
        <v>329</v>
      </c>
      <c r="M16">
        <v>0</v>
      </c>
      <c r="N16">
        <f t="shared" si="4"/>
        <v>0</v>
      </c>
      <c r="O16">
        <f t="shared" si="5"/>
        <v>0</v>
      </c>
      <c r="P16">
        <f t="shared" si="6"/>
        <v>0</v>
      </c>
    </row>
    <row r="17" spans="1:16" ht="17.25" customHeight="1" x14ac:dyDescent="0.3">
      <c r="A17" s="3">
        <v>330</v>
      </c>
      <c r="B17" s="446">
        <v>37700</v>
      </c>
      <c r="C17" s="447">
        <v>250605</v>
      </c>
      <c r="D17" s="457">
        <v>21610.400000000001</v>
      </c>
      <c r="E17" s="458">
        <v>250605</v>
      </c>
      <c r="F17" s="463">
        <v>1450</v>
      </c>
      <c r="G17" s="355">
        <f t="shared" si="0"/>
        <v>1</v>
      </c>
      <c r="H17" s="2">
        <f t="shared" si="1"/>
        <v>5800</v>
      </c>
      <c r="I17" s="454">
        <f t="shared" si="2"/>
        <v>-10289.599999999999</v>
      </c>
      <c r="J17" s="454">
        <f t="shared" si="3"/>
        <v>0</v>
      </c>
      <c r="L17">
        <v>330</v>
      </c>
      <c r="M17">
        <v>16</v>
      </c>
      <c r="N17">
        <f t="shared" si="4"/>
        <v>2</v>
      </c>
      <c r="O17">
        <f t="shared" si="5"/>
        <v>0</v>
      </c>
      <c r="P17">
        <f t="shared" si="6"/>
        <v>-1</v>
      </c>
    </row>
    <row r="18" spans="1:16" ht="17.25" customHeight="1" x14ac:dyDescent="0.3">
      <c r="A18" s="3">
        <v>331</v>
      </c>
      <c r="B18" s="446">
        <v>18850</v>
      </c>
      <c r="C18" s="447">
        <v>222760</v>
      </c>
      <c r="D18" s="457">
        <v>11517.5</v>
      </c>
      <c r="E18" s="458">
        <v>222760</v>
      </c>
      <c r="F18" s="461">
        <v>1450</v>
      </c>
      <c r="G18" s="355">
        <f t="shared" si="0"/>
        <v>1</v>
      </c>
      <c r="H18" s="2">
        <f t="shared" si="1"/>
        <v>5800</v>
      </c>
      <c r="I18" s="454">
        <f t="shared" si="2"/>
        <v>-1532.5</v>
      </c>
      <c r="J18" s="454">
        <f t="shared" si="3"/>
        <v>0</v>
      </c>
      <c r="L18">
        <v>331</v>
      </c>
      <c r="M18">
        <v>8</v>
      </c>
      <c r="N18">
        <f t="shared" si="4"/>
        <v>1</v>
      </c>
      <c r="O18">
        <f t="shared" si="5"/>
        <v>0</v>
      </c>
      <c r="P18">
        <f t="shared" si="6"/>
        <v>0</v>
      </c>
    </row>
    <row r="19" spans="1:16" ht="17.25" customHeight="1" x14ac:dyDescent="0.3">
      <c r="A19" s="3">
        <v>332</v>
      </c>
      <c r="B19" s="446">
        <v>0</v>
      </c>
      <c r="C19" s="447">
        <v>361985</v>
      </c>
      <c r="D19" s="457"/>
      <c r="E19" s="458">
        <v>361985</v>
      </c>
      <c r="F19" s="463"/>
      <c r="G19" s="355">
        <f t="shared" si="0"/>
        <v>0</v>
      </c>
      <c r="H19" s="2">
        <f t="shared" si="1"/>
        <v>0</v>
      </c>
      <c r="I19" s="454">
        <f t="shared" si="2"/>
        <v>0</v>
      </c>
      <c r="J19" s="454">
        <f t="shared" si="3"/>
        <v>0</v>
      </c>
      <c r="L19">
        <v>332</v>
      </c>
      <c r="M19">
        <v>0</v>
      </c>
      <c r="N19">
        <f t="shared" si="4"/>
        <v>0</v>
      </c>
      <c r="O19">
        <f t="shared" si="5"/>
        <v>0</v>
      </c>
      <c r="P19">
        <f t="shared" si="6"/>
        <v>0</v>
      </c>
    </row>
    <row r="20" spans="1:16" ht="17.25" customHeight="1" x14ac:dyDescent="0.3">
      <c r="A20" s="3">
        <v>333</v>
      </c>
      <c r="B20" s="446">
        <v>0</v>
      </c>
      <c r="C20" s="447">
        <v>501210</v>
      </c>
      <c r="D20" s="457"/>
      <c r="E20" s="458">
        <v>501210</v>
      </c>
      <c r="F20" s="463"/>
      <c r="G20" s="355">
        <f t="shared" si="0"/>
        <v>0</v>
      </c>
      <c r="H20" s="2">
        <f t="shared" si="1"/>
        <v>0</v>
      </c>
      <c r="I20" s="454">
        <f t="shared" si="2"/>
        <v>0</v>
      </c>
      <c r="J20" s="454">
        <f t="shared" si="3"/>
        <v>0</v>
      </c>
      <c r="L20">
        <v>333</v>
      </c>
      <c r="M20">
        <v>0</v>
      </c>
      <c r="N20">
        <f t="shared" si="4"/>
        <v>0</v>
      </c>
      <c r="O20">
        <f t="shared" si="5"/>
        <v>0</v>
      </c>
      <c r="P20">
        <f t="shared" si="6"/>
        <v>0</v>
      </c>
    </row>
    <row r="21" spans="1:16" ht="17.25" customHeight="1" x14ac:dyDescent="0.3">
      <c r="A21" s="3">
        <v>334</v>
      </c>
      <c r="B21" s="446">
        <v>56550</v>
      </c>
      <c r="C21" s="447">
        <v>139225</v>
      </c>
      <c r="D21" s="457">
        <v>34753.300000000003</v>
      </c>
      <c r="E21" s="458">
        <v>139225</v>
      </c>
      <c r="F21" s="463">
        <v>4350</v>
      </c>
      <c r="G21" s="355">
        <f t="shared" si="0"/>
        <v>3</v>
      </c>
      <c r="H21" s="2">
        <f t="shared" si="1"/>
        <v>17400</v>
      </c>
      <c r="I21" s="454">
        <f t="shared" si="2"/>
        <v>-4396.6999999999971</v>
      </c>
      <c r="J21" s="454">
        <f t="shared" si="3"/>
        <v>0</v>
      </c>
      <c r="L21">
        <v>334</v>
      </c>
      <c r="M21">
        <v>24</v>
      </c>
      <c r="N21">
        <f t="shared" si="4"/>
        <v>3</v>
      </c>
      <c r="O21">
        <f t="shared" si="5"/>
        <v>0</v>
      </c>
      <c r="P21">
        <f t="shared" si="6"/>
        <v>0</v>
      </c>
    </row>
    <row r="22" spans="1:16" ht="17.25" customHeight="1" x14ac:dyDescent="0.3">
      <c r="A22" s="3">
        <v>336</v>
      </c>
      <c r="B22" s="446">
        <v>58000</v>
      </c>
      <c r="C22" s="447">
        <v>194915</v>
      </c>
      <c r="D22" s="457">
        <v>46321.599999999999</v>
      </c>
      <c r="E22" s="458">
        <v>194915</v>
      </c>
      <c r="F22" s="461">
        <v>5800</v>
      </c>
      <c r="G22" s="355">
        <f t="shared" si="0"/>
        <v>4</v>
      </c>
      <c r="H22" s="2">
        <f t="shared" si="1"/>
        <v>23200</v>
      </c>
      <c r="I22" s="454">
        <f t="shared" si="2"/>
        <v>11521.600000000006</v>
      </c>
      <c r="J22" s="454">
        <f t="shared" si="3"/>
        <v>0</v>
      </c>
      <c r="L22">
        <v>336</v>
      </c>
      <c r="M22">
        <v>20</v>
      </c>
      <c r="N22">
        <f t="shared" si="4"/>
        <v>2.5</v>
      </c>
      <c r="O22">
        <f t="shared" si="5"/>
        <v>0</v>
      </c>
      <c r="P22">
        <f t="shared" si="6"/>
        <v>1.5</v>
      </c>
    </row>
    <row r="23" spans="1:16" ht="17.25" customHeight="1" x14ac:dyDescent="0.3">
      <c r="A23" s="3">
        <v>337</v>
      </c>
      <c r="B23" s="446">
        <v>37700</v>
      </c>
      <c r="C23" s="447">
        <v>250605</v>
      </c>
      <c r="D23" s="457">
        <v>23110.62</v>
      </c>
      <c r="E23" s="458">
        <v>250605</v>
      </c>
      <c r="F23" s="461">
        <v>2900</v>
      </c>
      <c r="G23" s="355">
        <f t="shared" si="0"/>
        <v>2</v>
      </c>
      <c r="H23" s="2">
        <f t="shared" si="1"/>
        <v>11600</v>
      </c>
      <c r="I23" s="454">
        <f t="shared" si="2"/>
        <v>-2989.3800000000047</v>
      </c>
      <c r="J23" s="454">
        <f t="shared" si="3"/>
        <v>0</v>
      </c>
      <c r="L23">
        <v>337</v>
      </c>
      <c r="M23">
        <v>16</v>
      </c>
      <c r="N23">
        <f t="shared" si="4"/>
        <v>2</v>
      </c>
      <c r="O23">
        <f t="shared" si="5"/>
        <v>0</v>
      </c>
      <c r="P23">
        <f t="shared" si="6"/>
        <v>0</v>
      </c>
    </row>
    <row r="24" spans="1:16" ht="17.25" customHeight="1" x14ac:dyDescent="0.3">
      <c r="A24" s="3">
        <v>338</v>
      </c>
      <c r="B24" s="446">
        <v>94250</v>
      </c>
      <c r="C24" s="447">
        <v>278450</v>
      </c>
      <c r="D24" s="457">
        <v>57859.1</v>
      </c>
      <c r="E24" s="458">
        <v>278450</v>
      </c>
      <c r="F24" s="461">
        <v>7250</v>
      </c>
      <c r="G24" s="355">
        <f t="shared" si="0"/>
        <v>5</v>
      </c>
      <c r="H24" s="2">
        <f t="shared" si="1"/>
        <v>29000</v>
      </c>
      <c r="I24" s="454">
        <f t="shared" si="2"/>
        <v>-7390.8999999999942</v>
      </c>
      <c r="J24" s="454">
        <f t="shared" si="3"/>
        <v>0</v>
      </c>
      <c r="L24">
        <v>338</v>
      </c>
      <c r="M24">
        <v>40</v>
      </c>
      <c r="N24">
        <f t="shared" si="4"/>
        <v>5</v>
      </c>
      <c r="O24">
        <f t="shared" si="5"/>
        <v>0</v>
      </c>
      <c r="P24">
        <f t="shared" si="6"/>
        <v>0</v>
      </c>
    </row>
    <row r="25" spans="1:16" ht="17.25" customHeight="1" x14ac:dyDescent="0.3">
      <c r="A25" s="3">
        <v>339</v>
      </c>
      <c r="B25" s="446">
        <v>56550</v>
      </c>
      <c r="C25" s="447">
        <v>389830</v>
      </c>
      <c r="D25" s="457">
        <v>34698.06</v>
      </c>
      <c r="E25" s="458">
        <v>389830</v>
      </c>
      <c r="F25" s="461">
        <v>4349</v>
      </c>
      <c r="G25" s="355">
        <v>3</v>
      </c>
      <c r="H25" s="2">
        <f t="shared" si="1"/>
        <v>17400</v>
      </c>
      <c r="I25" s="454">
        <f t="shared" si="2"/>
        <v>-4451.9400000000023</v>
      </c>
      <c r="J25" s="454">
        <f t="shared" si="3"/>
        <v>0</v>
      </c>
      <c r="L25">
        <v>339</v>
      </c>
      <c r="M25">
        <v>24</v>
      </c>
      <c r="N25">
        <f t="shared" si="4"/>
        <v>3</v>
      </c>
      <c r="O25">
        <f t="shared" si="5"/>
        <v>0</v>
      </c>
      <c r="P25">
        <f t="shared" si="6"/>
        <v>0</v>
      </c>
    </row>
    <row r="26" spans="1:16" ht="17.25" customHeight="1" x14ac:dyDescent="0.3">
      <c r="A26" s="3">
        <v>340</v>
      </c>
      <c r="B26" s="446">
        <v>0</v>
      </c>
      <c r="C26" s="447">
        <v>194915</v>
      </c>
      <c r="D26" s="457"/>
      <c r="E26" s="458">
        <v>194915</v>
      </c>
      <c r="F26" s="463"/>
      <c r="G26" s="355">
        <f t="shared" si="0"/>
        <v>0</v>
      </c>
      <c r="H26" s="2">
        <f t="shared" si="1"/>
        <v>0</v>
      </c>
      <c r="I26" s="454">
        <f t="shared" si="2"/>
        <v>0</v>
      </c>
      <c r="J26" s="454">
        <f t="shared" si="3"/>
        <v>0</v>
      </c>
      <c r="L26">
        <v>340</v>
      </c>
      <c r="M26">
        <v>0</v>
      </c>
      <c r="N26">
        <f t="shared" si="4"/>
        <v>0</v>
      </c>
      <c r="O26">
        <f t="shared" si="5"/>
        <v>0</v>
      </c>
      <c r="P26">
        <f t="shared" si="6"/>
        <v>0</v>
      </c>
    </row>
    <row r="27" spans="1:16" ht="17.25" customHeight="1" x14ac:dyDescent="0.3">
      <c r="A27" s="3">
        <v>341</v>
      </c>
      <c r="B27" s="446">
        <v>56550</v>
      </c>
      <c r="C27" s="447">
        <v>278450</v>
      </c>
      <c r="D27" s="457">
        <v>34661.199999999997</v>
      </c>
      <c r="E27" s="458">
        <v>250605</v>
      </c>
      <c r="F27" s="461">
        <v>4350</v>
      </c>
      <c r="G27" s="355">
        <f t="shared" si="0"/>
        <v>3</v>
      </c>
      <c r="H27" s="2">
        <f t="shared" si="1"/>
        <v>17400</v>
      </c>
      <c r="I27" s="454">
        <f t="shared" si="2"/>
        <v>-4488.8000000000029</v>
      </c>
      <c r="J27" s="454">
        <f t="shared" si="3"/>
        <v>-27845</v>
      </c>
      <c r="L27">
        <v>341</v>
      </c>
      <c r="M27">
        <v>24</v>
      </c>
      <c r="N27">
        <f t="shared" si="4"/>
        <v>3</v>
      </c>
      <c r="O27">
        <f t="shared" si="5"/>
        <v>0</v>
      </c>
      <c r="P27">
        <f t="shared" si="6"/>
        <v>0</v>
      </c>
    </row>
    <row r="28" spans="1:16" ht="17.25" customHeight="1" x14ac:dyDescent="0.3">
      <c r="A28" s="3">
        <v>342</v>
      </c>
      <c r="B28" s="446">
        <v>0</v>
      </c>
      <c r="C28" s="447">
        <v>167070</v>
      </c>
      <c r="D28" s="457"/>
      <c r="E28" s="458">
        <v>167070</v>
      </c>
      <c r="F28" s="463"/>
      <c r="G28" s="355">
        <f t="shared" si="0"/>
        <v>0</v>
      </c>
      <c r="H28" s="2">
        <f t="shared" si="1"/>
        <v>0</v>
      </c>
      <c r="I28" s="454">
        <f t="shared" si="2"/>
        <v>0</v>
      </c>
      <c r="J28" s="454">
        <f t="shared" si="3"/>
        <v>0</v>
      </c>
      <c r="L28">
        <v>342</v>
      </c>
      <c r="M28">
        <v>0</v>
      </c>
      <c r="N28">
        <f t="shared" si="4"/>
        <v>0</v>
      </c>
      <c r="O28">
        <f t="shared" si="5"/>
        <v>0</v>
      </c>
      <c r="P28">
        <f t="shared" si="6"/>
        <v>0</v>
      </c>
    </row>
    <row r="29" spans="1:16" ht="17.25" customHeight="1" x14ac:dyDescent="0.3">
      <c r="A29" s="3">
        <v>343</v>
      </c>
      <c r="B29" s="446">
        <v>0</v>
      </c>
      <c r="C29" s="447">
        <v>361985</v>
      </c>
      <c r="D29" s="457"/>
      <c r="E29" s="458">
        <v>361985</v>
      </c>
      <c r="F29" s="463"/>
      <c r="G29" s="355">
        <f t="shared" si="0"/>
        <v>0</v>
      </c>
      <c r="H29" s="2">
        <f t="shared" si="1"/>
        <v>0</v>
      </c>
      <c r="I29" s="454">
        <f t="shared" si="2"/>
        <v>0</v>
      </c>
      <c r="J29" s="454">
        <f t="shared" si="3"/>
        <v>0</v>
      </c>
      <c r="L29">
        <v>343</v>
      </c>
      <c r="M29">
        <v>0</v>
      </c>
      <c r="N29">
        <f t="shared" si="4"/>
        <v>0</v>
      </c>
      <c r="O29">
        <f t="shared" si="5"/>
        <v>0</v>
      </c>
      <c r="P29">
        <f t="shared" si="6"/>
        <v>0</v>
      </c>
    </row>
    <row r="30" spans="1:16" ht="17.25" customHeight="1" x14ac:dyDescent="0.3">
      <c r="A30" s="3">
        <v>344</v>
      </c>
      <c r="B30" s="446">
        <v>75400</v>
      </c>
      <c r="C30" s="447">
        <v>361985</v>
      </c>
      <c r="D30" s="457">
        <v>46313.3</v>
      </c>
      <c r="E30" s="458">
        <v>361985</v>
      </c>
      <c r="F30" s="461">
        <v>5800</v>
      </c>
      <c r="G30" s="355">
        <f t="shared" si="0"/>
        <v>4</v>
      </c>
      <c r="H30" s="2">
        <f t="shared" si="1"/>
        <v>23200</v>
      </c>
      <c r="I30" s="454">
        <f>D30+H30-B30</f>
        <v>-5886.6999999999971</v>
      </c>
      <c r="J30" s="454">
        <f t="shared" si="3"/>
        <v>0</v>
      </c>
      <c r="L30">
        <v>344</v>
      </c>
      <c r="M30">
        <v>32</v>
      </c>
      <c r="N30">
        <f t="shared" si="4"/>
        <v>4</v>
      </c>
      <c r="O30">
        <f t="shared" si="5"/>
        <v>0</v>
      </c>
      <c r="P30">
        <f t="shared" si="6"/>
        <v>0</v>
      </c>
    </row>
    <row r="31" spans="1:16" ht="17.25" customHeight="1" x14ac:dyDescent="0.3">
      <c r="A31" s="3">
        <v>345</v>
      </c>
      <c r="B31" s="446">
        <v>18850</v>
      </c>
      <c r="C31" s="447">
        <v>194915</v>
      </c>
      <c r="D31" s="457">
        <v>11442.9</v>
      </c>
      <c r="E31" s="458">
        <v>194915</v>
      </c>
      <c r="F31" s="461">
        <v>1450</v>
      </c>
      <c r="G31" s="355">
        <f t="shared" si="0"/>
        <v>1</v>
      </c>
      <c r="H31" s="2">
        <f t="shared" si="1"/>
        <v>5800</v>
      </c>
      <c r="I31" s="454">
        <f t="shared" si="2"/>
        <v>-1607.0999999999985</v>
      </c>
      <c r="J31" s="454">
        <f t="shared" si="3"/>
        <v>0</v>
      </c>
      <c r="L31">
        <v>345</v>
      </c>
      <c r="M31">
        <v>8</v>
      </c>
      <c r="N31">
        <f t="shared" si="4"/>
        <v>1</v>
      </c>
      <c r="O31">
        <f t="shared" si="5"/>
        <v>0</v>
      </c>
      <c r="P31">
        <f t="shared" si="6"/>
        <v>0</v>
      </c>
    </row>
    <row r="32" spans="1:16" ht="17.25" customHeight="1" x14ac:dyDescent="0.3">
      <c r="A32" s="3">
        <v>346</v>
      </c>
      <c r="B32" s="446">
        <v>18850</v>
      </c>
      <c r="C32" s="447">
        <v>334140</v>
      </c>
      <c r="D32" s="457">
        <v>10150</v>
      </c>
      <c r="E32" s="458">
        <v>334140</v>
      </c>
      <c r="F32" s="461">
        <v>1450</v>
      </c>
      <c r="G32" s="355">
        <f t="shared" si="0"/>
        <v>1</v>
      </c>
      <c r="H32" s="2">
        <f t="shared" si="1"/>
        <v>5800</v>
      </c>
      <c r="I32" s="454">
        <f t="shared" si="2"/>
        <v>-2900</v>
      </c>
      <c r="J32" s="454">
        <f t="shared" si="3"/>
        <v>0</v>
      </c>
      <c r="L32">
        <v>346</v>
      </c>
      <c r="M32">
        <v>9</v>
      </c>
      <c r="N32">
        <f t="shared" si="4"/>
        <v>1.125</v>
      </c>
      <c r="O32">
        <f t="shared" si="5"/>
        <v>0</v>
      </c>
      <c r="P32">
        <f t="shared" si="6"/>
        <v>-0.125</v>
      </c>
    </row>
    <row r="33" spans="1:16" ht="17.25" customHeight="1" x14ac:dyDescent="0.3">
      <c r="A33" s="3">
        <v>347</v>
      </c>
      <c r="B33" s="446">
        <v>55690</v>
      </c>
      <c r="C33" s="447">
        <v>334140</v>
      </c>
      <c r="D33" s="457"/>
      <c r="E33" s="458">
        <v>334140</v>
      </c>
      <c r="F33" s="463"/>
      <c r="G33" s="355">
        <f t="shared" si="0"/>
        <v>0</v>
      </c>
      <c r="H33" s="2">
        <f t="shared" si="1"/>
        <v>0</v>
      </c>
      <c r="I33" s="454">
        <f t="shared" si="2"/>
        <v>-55690</v>
      </c>
      <c r="J33" s="454">
        <f t="shared" si="3"/>
        <v>0</v>
      </c>
      <c r="L33">
        <v>347</v>
      </c>
      <c r="M33">
        <v>0</v>
      </c>
      <c r="N33">
        <f t="shared" si="4"/>
        <v>0</v>
      </c>
      <c r="O33">
        <f t="shared" si="5"/>
        <v>0</v>
      </c>
      <c r="P33">
        <f t="shared" si="6"/>
        <v>0</v>
      </c>
    </row>
    <row r="34" spans="1:16" ht="17.25" customHeight="1" x14ac:dyDescent="0.3">
      <c r="A34" s="3">
        <v>348</v>
      </c>
      <c r="B34" s="446">
        <v>31900</v>
      </c>
      <c r="C34" s="447">
        <v>194915</v>
      </c>
      <c r="D34" s="457">
        <v>25973.7</v>
      </c>
      <c r="E34" s="458">
        <v>194915</v>
      </c>
      <c r="F34" s="461">
        <v>2900</v>
      </c>
      <c r="G34" s="355">
        <f t="shared" si="0"/>
        <v>2</v>
      </c>
      <c r="H34" s="2">
        <f t="shared" si="1"/>
        <v>11600</v>
      </c>
      <c r="I34" s="454">
        <f t="shared" si="2"/>
        <v>5673.6999999999971</v>
      </c>
      <c r="J34" s="454">
        <f t="shared" si="3"/>
        <v>0</v>
      </c>
      <c r="L34">
        <v>348</v>
      </c>
      <c r="M34">
        <v>10</v>
      </c>
      <c r="N34">
        <f t="shared" si="4"/>
        <v>1.25</v>
      </c>
      <c r="O34">
        <f t="shared" si="5"/>
        <v>0</v>
      </c>
      <c r="P34">
        <f t="shared" si="6"/>
        <v>0.75</v>
      </c>
    </row>
    <row r="35" spans="1:16" ht="17.25" customHeight="1" x14ac:dyDescent="0.3">
      <c r="A35" s="3">
        <v>350</v>
      </c>
      <c r="B35" s="446">
        <v>18850</v>
      </c>
      <c r="C35" s="447">
        <v>167070</v>
      </c>
      <c r="D35" s="457">
        <v>11555</v>
      </c>
      <c r="E35" s="458">
        <v>167070</v>
      </c>
      <c r="F35" s="461">
        <v>1450</v>
      </c>
      <c r="G35" s="355">
        <f t="shared" si="0"/>
        <v>1</v>
      </c>
      <c r="H35" s="2">
        <f t="shared" si="1"/>
        <v>5800</v>
      </c>
      <c r="I35" s="454">
        <f t="shared" si="2"/>
        <v>-1495</v>
      </c>
      <c r="J35" s="454">
        <f t="shared" si="3"/>
        <v>0</v>
      </c>
      <c r="L35">
        <v>350</v>
      </c>
      <c r="M35">
        <v>8</v>
      </c>
      <c r="N35">
        <f t="shared" si="4"/>
        <v>1</v>
      </c>
      <c r="O35">
        <f t="shared" si="5"/>
        <v>0</v>
      </c>
      <c r="P35">
        <f t="shared" si="6"/>
        <v>0</v>
      </c>
    </row>
    <row r="36" spans="1:16" ht="17.25" customHeight="1" x14ac:dyDescent="0.3">
      <c r="A36" s="3">
        <v>458</v>
      </c>
      <c r="B36" s="446">
        <v>37700</v>
      </c>
      <c r="C36" s="447">
        <v>306295</v>
      </c>
      <c r="D36" s="457">
        <v>23150</v>
      </c>
      <c r="E36" s="458">
        <v>306295</v>
      </c>
      <c r="F36" s="461">
        <v>2900</v>
      </c>
      <c r="G36" s="355">
        <f t="shared" si="0"/>
        <v>2</v>
      </c>
      <c r="H36" s="2">
        <f t="shared" si="1"/>
        <v>11600</v>
      </c>
      <c r="I36" s="454">
        <f t="shared" si="2"/>
        <v>-2950</v>
      </c>
      <c r="J36" s="454">
        <f t="shared" si="3"/>
        <v>0</v>
      </c>
      <c r="L36">
        <v>458</v>
      </c>
      <c r="M36">
        <v>16</v>
      </c>
      <c r="N36">
        <f t="shared" si="4"/>
        <v>2</v>
      </c>
      <c r="O36">
        <f t="shared" si="5"/>
        <v>0</v>
      </c>
      <c r="P36">
        <f t="shared" si="6"/>
        <v>0</v>
      </c>
    </row>
    <row r="37" spans="1:16" ht="17.25" customHeight="1" x14ac:dyDescent="0.3">
      <c r="A37" s="3">
        <v>497</v>
      </c>
      <c r="B37" s="446">
        <v>37700</v>
      </c>
      <c r="C37" s="447">
        <v>278450</v>
      </c>
      <c r="D37" s="457">
        <v>23122.5</v>
      </c>
      <c r="E37" s="458">
        <v>278450</v>
      </c>
      <c r="F37" s="461">
        <v>2900</v>
      </c>
      <c r="G37" s="355">
        <f t="shared" si="0"/>
        <v>2</v>
      </c>
      <c r="H37" s="2">
        <f t="shared" si="1"/>
        <v>11600</v>
      </c>
      <c r="I37" s="454">
        <f t="shared" si="2"/>
        <v>-2977.5</v>
      </c>
      <c r="J37" s="454">
        <f t="shared" si="3"/>
        <v>0</v>
      </c>
      <c r="L37">
        <v>497</v>
      </c>
      <c r="M37">
        <v>16</v>
      </c>
      <c r="N37">
        <f t="shared" si="4"/>
        <v>2</v>
      </c>
      <c r="O37">
        <f t="shared" si="5"/>
        <v>0</v>
      </c>
      <c r="P37">
        <f t="shared" si="6"/>
        <v>0</v>
      </c>
    </row>
    <row r="38" spans="1:16" ht="17.25" customHeight="1" x14ac:dyDescent="0.3">
      <c r="A38" s="3">
        <v>498</v>
      </c>
      <c r="B38" s="446">
        <v>14500</v>
      </c>
      <c r="C38" s="447">
        <v>361985</v>
      </c>
      <c r="D38" s="457">
        <v>7241.33</v>
      </c>
      <c r="E38" s="458">
        <v>361985</v>
      </c>
      <c r="F38" s="463">
        <v>1450</v>
      </c>
      <c r="G38" s="355">
        <f t="shared" si="0"/>
        <v>1</v>
      </c>
      <c r="H38" s="2">
        <f t="shared" si="1"/>
        <v>5800</v>
      </c>
      <c r="I38" s="454">
        <f t="shared" si="2"/>
        <v>-1458.67</v>
      </c>
      <c r="J38" s="454">
        <f t="shared" si="3"/>
        <v>0</v>
      </c>
      <c r="L38">
        <v>498</v>
      </c>
      <c r="M38">
        <v>8</v>
      </c>
      <c r="N38">
        <f t="shared" si="4"/>
        <v>1</v>
      </c>
      <c r="O38">
        <f t="shared" si="5"/>
        <v>0</v>
      </c>
      <c r="P38">
        <f t="shared" si="6"/>
        <v>0</v>
      </c>
    </row>
    <row r="39" spans="1:16" ht="17.25" customHeight="1" x14ac:dyDescent="0.3">
      <c r="A39" s="3">
        <v>512</v>
      </c>
      <c r="B39" s="446">
        <v>18850</v>
      </c>
      <c r="C39" s="447">
        <v>278450</v>
      </c>
      <c r="D39" s="457">
        <v>11582.5</v>
      </c>
      <c r="E39" s="458">
        <v>278450</v>
      </c>
      <c r="F39" s="461">
        <v>1450</v>
      </c>
      <c r="G39" s="355">
        <f t="shared" si="0"/>
        <v>1</v>
      </c>
      <c r="H39" s="2">
        <f t="shared" si="1"/>
        <v>5800</v>
      </c>
      <c r="I39" s="454">
        <f t="shared" si="2"/>
        <v>-1467.5</v>
      </c>
      <c r="J39" s="454">
        <f t="shared" si="3"/>
        <v>0</v>
      </c>
      <c r="L39">
        <v>512</v>
      </c>
      <c r="M39">
        <v>8</v>
      </c>
      <c r="N39">
        <f t="shared" si="4"/>
        <v>1</v>
      </c>
      <c r="O39">
        <f t="shared" si="5"/>
        <v>0</v>
      </c>
      <c r="P39">
        <f t="shared" si="6"/>
        <v>0</v>
      </c>
    </row>
    <row r="40" spans="1:16" ht="17.25" customHeight="1" x14ac:dyDescent="0.3">
      <c r="A40" s="3">
        <v>513</v>
      </c>
      <c r="B40" s="446">
        <v>108750</v>
      </c>
      <c r="C40" s="447">
        <v>417675</v>
      </c>
      <c r="D40" s="457">
        <v>78175.3</v>
      </c>
      <c r="E40" s="458">
        <v>417675</v>
      </c>
      <c r="F40" s="463">
        <v>8700</v>
      </c>
      <c r="G40" s="355">
        <f t="shared" si="0"/>
        <v>6</v>
      </c>
      <c r="H40" s="2">
        <f t="shared" si="1"/>
        <v>34800</v>
      </c>
      <c r="I40" s="454">
        <f t="shared" si="2"/>
        <v>4225.3000000000029</v>
      </c>
      <c r="J40" s="454">
        <f t="shared" si="3"/>
        <v>0</v>
      </c>
      <c r="L40">
        <v>513</v>
      </c>
      <c r="M40">
        <v>39</v>
      </c>
      <c r="N40">
        <f t="shared" si="4"/>
        <v>4.875</v>
      </c>
      <c r="O40">
        <f t="shared" si="5"/>
        <v>0</v>
      </c>
      <c r="P40">
        <f t="shared" si="6"/>
        <v>1.125</v>
      </c>
    </row>
    <row r="41" spans="1:16" ht="17.25" customHeight="1" x14ac:dyDescent="0.3">
      <c r="A41" s="3">
        <v>516</v>
      </c>
      <c r="B41" s="446">
        <v>73950</v>
      </c>
      <c r="C41" s="447">
        <v>194915</v>
      </c>
      <c r="D41" s="457">
        <v>46308.3</v>
      </c>
      <c r="E41" s="458">
        <v>194915</v>
      </c>
      <c r="F41" s="461">
        <v>5800</v>
      </c>
      <c r="G41" s="355">
        <f t="shared" si="0"/>
        <v>4</v>
      </c>
      <c r="H41" s="2">
        <f t="shared" si="1"/>
        <v>23200</v>
      </c>
      <c r="I41" s="454">
        <f t="shared" si="2"/>
        <v>-4441.6999999999971</v>
      </c>
      <c r="J41" s="454">
        <f t="shared" si="3"/>
        <v>0</v>
      </c>
      <c r="L41">
        <v>516</v>
      </c>
      <c r="M41">
        <v>31</v>
      </c>
      <c r="N41">
        <f t="shared" si="4"/>
        <v>3.875</v>
      </c>
      <c r="O41">
        <f t="shared" si="5"/>
        <v>0</v>
      </c>
      <c r="P41">
        <f t="shared" si="6"/>
        <v>0.125</v>
      </c>
    </row>
    <row r="42" spans="1:16" ht="17.25" customHeight="1" x14ac:dyDescent="0.3">
      <c r="A42" s="3">
        <v>527</v>
      </c>
      <c r="B42" s="446">
        <v>0</v>
      </c>
      <c r="C42" s="447">
        <v>222760</v>
      </c>
      <c r="D42" s="457"/>
      <c r="E42" s="458">
        <v>222760</v>
      </c>
      <c r="F42" s="463"/>
      <c r="G42" s="355">
        <f t="shared" si="0"/>
        <v>0</v>
      </c>
      <c r="H42" s="2">
        <f t="shared" si="1"/>
        <v>0</v>
      </c>
      <c r="I42" s="454">
        <f t="shared" si="2"/>
        <v>0</v>
      </c>
      <c r="J42" s="454">
        <f t="shared" si="3"/>
        <v>0</v>
      </c>
      <c r="L42">
        <v>527</v>
      </c>
      <c r="M42">
        <v>0</v>
      </c>
      <c r="N42">
        <f t="shared" si="4"/>
        <v>0</v>
      </c>
      <c r="O42">
        <f t="shared" si="5"/>
        <v>0</v>
      </c>
      <c r="P42">
        <f t="shared" si="6"/>
        <v>0</v>
      </c>
    </row>
    <row r="43" spans="1:16" ht="17.25" customHeight="1" x14ac:dyDescent="0.3">
      <c r="A43" s="3">
        <v>528</v>
      </c>
      <c r="B43" s="446">
        <v>19995</v>
      </c>
      <c r="C43" s="447">
        <v>501210</v>
      </c>
      <c r="D43" s="457">
        <v>11600</v>
      </c>
      <c r="E43" s="458">
        <v>501210</v>
      </c>
      <c r="F43" s="463">
        <v>1449.5</v>
      </c>
      <c r="G43" s="355">
        <v>1</v>
      </c>
      <c r="H43" s="2">
        <f t="shared" si="1"/>
        <v>5800</v>
      </c>
      <c r="I43" s="454">
        <f t="shared" si="2"/>
        <v>-2595</v>
      </c>
      <c r="J43" s="454">
        <f t="shared" si="3"/>
        <v>0</v>
      </c>
      <c r="L43">
        <v>528</v>
      </c>
      <c r="M43">
        <v>8</v>
      </c>
      <c r="N43">
        <f t="shared" si="4"/>
        <v>1</v>
      </c>
      <c r="O43">
        <f t="shared" si="5"/>
        <v>0</v>
      </c>
      <c r="P43">
        <f t="shared" si="6"/>
        <v>0</v>
      </c>
    </row>
    <row r="44" spans="1:16" ht="17.25" customHeight="1" x14ac:dyDescent="0.3">
      <c r="A44" s="3">
        <v>557</v>
      </c>
      <c r="B44" s="446">
        <v>26100</v>
      </c>
      <c r="C44" s="447">
        <v>250605</v>
      </c>
      <c r="D44" s="457">
        <v>23120.400000000001</v>
      </c>
      <c r="E44" s="458">
        <v>250605</v>
      </c>
      <c r="F44" s="461">
        <v>2900</v>
      </c>
      <c r="G44" s="355">
        <f t="shared" si="0"/>
        <v>2</v>
      </c>
      <c r="H44" s="2">
        <f t="shared" si="1"/>
        <v>11600</v>
      </c>
      <c r="I44" s="454">
        <f t="shared" si="2"/>
        <v>8620.4000000000015</v>
      </c>
      <c r="J44" s="454">
        <f t="shared" si="3"/>
        <v>0</v>
      </c>
      <c r="L44">
        <v>557</v>
      </c>
      <c r="M44">
        <v>8</v>
      </c>
      <c r="N44">
        <f t="shared" si="4"/>
        <v>1</v>
      </c>
      <c r="O44">
        <f t="shared" si="5"/>
        <v>0</v>
      </c>
      <c r="P44">
        <f t="shared" si="6"/>
        <v>1</v>
      </c>
    </row>
    <row r="45" spans="1:16" ht="17.25" customHeight="1" x14ac:dyDescent="0.3">
      <c r="A45" s="3">
        <v>569</v>
      </c>
      <c r="B45" s="446">
        <v>44950</v>
      </c>
      <c r="C45" s="447">
        <v>389830</v>
      </c>
      <c r="D45" s="457">
        <v>24506.2</v>
      </c>
      <c r="E45" s="458">
        <v>389830</v>
      </c>
      <c r="F45" s="463">
        <v>2900</v>
      </c>
      <c r="G45" s="355">
        <f t="shared" si="0"/>
        <v>2</v>
      </c>
      <c r="H45" s="2">
        <f t="shared" si="1"/>
        <v>11600</v>
      </c>
      <c r="I45" s="454">
        <f t="shared" si="2"/>
        <v>-8843.8000000000029</v>
      </c>
      <c r="J45" s="454">
        <f t="shared" si="3"/>
        <v>0</v>
      </c>
      <c r="L45">
        <v>569</v>
      </c>
      <c r="M45">
        <v>20</v>
      </c>
      <c r="N45">
        <f t="shared" si="4"/>
        <v>2.5</v>
      </c>
      <c r="O45">
        <f t="shared" si="5"/>
        <v>0</v>
      </c>
      <c r="P45">
        <f t="shared" si="6"/>
        <v>-0.5</v>
      </c>
    </row>
    <row r="46" spans="1:16" ht="17.25" customHeight="1" x14ac:dyDescent="0.3">
      <c r="A46" s="3">
        <v>570</v>
      </c>
      <c r="B46" s="446">
        <v>44950</v>
      </c>
      <c r="C46" s="447">
        <v>278450</v>
      </c>
      <c r="D46" s="457">
        <v>34800</v>
      </c>
      <c r="E46" s="458">
        <v>278450</v>
      </c>
      <c r="F46" s="461">
        <v>4350</v>
      </c>
      <c r="G46" s="355">
        <f t="shared" si="0"/>
        <v>3</v>
      </c>
      <c r="H46" s="2">
        <f t="shared" si="1"/>
        <v>17400</v>
      </c>
      <c r="I46" s="454">
        <f t="shared" si="2"/>
        <v>7250</v>
      </c>
      <c r="J46" s="454">
        <f t="shared" si="3"/>
        <v>0</v>
      </c>
      <c r="L46">
        <v>570</v>
      </c>
      <c r="M46">
        <v>16</v>
      </c>
      <c r="N46">
        <f t="shared" si="4"/>
        <v>2</v>
      </c>
      <c r="O46">
        <f t="shared" si="5"/>
        <v>0</v>
      </c>
      <c r="P46">
        <f t="shared" si="6"/>
        <v>1</v>
      </c>
    </row>
    <row r="47" spans="1:16" ht="17.25" customHeight="1" x14ac:dyDescent="0.3">
      <c r="A47" s="3">
        <v>571</v>
      </c>
      <c r="B47" s="446">
        <v>0</v>
      </c>
      <c r="C47" s="447">
        <v>389830</v>
      </c>
      <c r="D47" s="457"/>
      <c r="E47" s="458">
        <v>389830</v>
      </c>
      <c r="F47" s="463"/>
      <c r="G47" s="355">
        <f t="shared" si="0"/>
        <v>0</v>
      </c>
      <c r="H47" s="2">
        <f t="shared" si="1"/>
        <v>0</v>
      </c>
      <c r="I47" s="454">
        <f t="shared" si="2"/>
        <v>0</v>
      </c>
      <c r="J47" s="454">
        <f t="shared" si="3"/>
        <v>0</v>
      </c>
      <c r="L47">
        <v>571</v>
      </c>
      <c r="M47">
        <v>0</v>
      </c>
      <c r="N47">
        <f t="shared" si="4"/>
        <v>0</v>
      </c>
      <c r="O47">
        <f t="shared" si="5"/>
        <v>0</v>
      </c>
      <c r="P47">
        <f t="shared" si="6"/>
        <v>0</v>
      </c>
    </row>
    <row r="48" spans="1:16" ht="17.25" customHeight="1" x14ac:dyDescent="0.3">
      <c r="A48" s="3">
        <v>572</v>
      </c>
      <c r="B48" s="446">
        <v>56550</v>
      </c>
      <c r="C48" s="447">
        <v>250605</v>
      </c>
      <c r="D48" s="457">
        <v>34693.300000000003</v>
      </c>
      <c r="E48" s="458">
        <v>250605</v>
      </c>
      <c r="F48" s="461">
        <v>4350</v>
      </c>
      <c r="G48" s="355">
        <f t="shared" si="0"/>
        <v>3</v>
      </c>
      <c r="H48" s="2">
        <f t="shared" si="1"/>
        <v>17400</v>
      </c>
      <c r="I48" s="454">
        <f t="shared" si="2"/>
        <v>-4456.6999999999971</v>
      </c>
      <c r="J48" s="454">
        <f t="shared" si="3"/>
        <v>0</v>
      </c>
      <c r="L48">
        <v>572</v>
      </c>
      <c r="M48">
        <v>24</v>
      </c>
      <c r="N48">
        <f t="shared" si="4"/>
        <v>3</v>
      </c>
      <c r="O48">
        <f t="shared" si="5"/>
        <v>0</v>
      </c>
      <c r="P48">
        <f t="shared" si="6"/>
        <v>0</v>
      </c>
    </row>
    <row r="49" spans="1:16" ht="17.25" customHeight="1" x14ac:dyDescent="0.3">
      <c r="A49" s="3">
        <v>574</v>
      </c>
      <c r="B49" s="446">
        <v>37700</v>
      </c>
      <c r="C49" s="447">
        <v>361985</v>
      </c>
      <c r="D49" s="457">
        <v>23063.7</v>
      </c>
      <c r="E49" s="458">
        <v>361985</v>
      </c>
      <c r="F49" s="463">
        <v>2900</v>
      </c>
      <c r="G49" s="355">
        <f t="shared" si="0"/>
        <v>2</v>
      </c>
      <c r="H49" s="2">
        <f t="shared" si="1"/>
        <v>11600</v>
      </c>
      <c r="I49" s="454">
        <f t="shared" si="2"/>
        <v>-3036.3000000000029</v>
      </c>
      <c r="J49" s="454">
        <f t="shared" si="3"/>
        <v>0</v>
      </c>
      <c r="L49">
        <v>574</v>
      </c>
      <c r="M49">
        <v>16</v>
      </c>
      <c r="N49">
        <f t="shared" si="4"/>
        <v>2</v>
      </c>
      <c r="O49">
        <f t="shared" si="5"/>
        <v>0</v>
      </c>
      <c r="P49">
        <f t="shared" si="6"/>
        <v>0</v>
      </c>
    </row>
    <row r="50" spans="1:16" ht="17.25" customHeight="1" x14ac:dyDescent="0.3">
      <c r="A50" s="3">
        <v>591</v>
      </c>
      <c r="B50" s="446">
        <v>0</v>
      </c>
      <c r="C50" s="447">
        <v>222760</v>
      </c>
      <c r="D50" s="457"/>
      <c r="E50" s="458">
        <v>222648.95</v>
      </c>
      <c r="F50" s="463"/>
      <c r="G50" s="355">
        <f t="shared" si="0"/>
        <v>0</v>
      </c>
      <c r="H50" s="2">
        <f t="shared" si="1"/>
        <v>0</v>
      </c>
      <c r="I50" s="454">
        <f t="shared" si="2"/>
        <v>0</v>
      </c>
      <c r="K50" s="475">
        <f>E50-C50</f>
        <v>-111.04999999998836</v>
      </c>
      <c r="L50">
        <v>591</v>
      </c>
      <c r="M50">
        <v>0</v>
      </c>
      <c r="N50">
        <f t="shared" si="4"/>
        <v>0</v>
      </c>
      <c r="O50">
        <f t="shared" si="5"/>
        <v>0</v>
      </c>
      <c r="P50">
        <f t="shared" si="6"/>
        <v>0</v>
      </c>
    </row>
    <row r="51" spans="1:16" ht="17.25" customHeight="1" x14ac:dyDescent="0.3">
      <c r="A51" s="3">
        <v>592</v>
      </c>
      <c r="B51" s="446">
        <v>13050</v>
      </c>
      <c r="C51" s="447">
        <v>250605</v>
      </c>
      <c r="D51" s="457">
        <v>11537.9</v>
      </c>
      <c r="E51" s="458">
        <v>139225</v>
      </c>
      <c r="F51" s="461">
        <v>1450</v>
      </c>
      <c r="G51" s="355">
        <f t="shared" si="0"/>
        <v>1</v>
      </c>
      <c r="H51" s="2">
        <f t="shared" si="1"/>
        <v>5800</v>
      </c>
      <c r="I51" s="454">
        <f t="shared" si="2"/>
        <v>4287.9000000000015</v>
      </c>
      <c r="J51" s="454">
        <f t="shared" si="3"/>
        <v>-111380</v>
      </c>
      <c r="L51">
        <v>592</v>
      </c>
      <c r="M51">
        <v>4</v>
      </c>
      <c r="N51">
        <f t="shared" si="4"/>
        <v>0.5</v>
      </c>
      <c r="O51">
        <f t="shared" si="5"/>
        <v>0</v>
      </c>
      <c r="P51">
        <f t="shared" si="6"/>
        <v>0.5</v>
      </c>
    </row>
    <row r="52" spans="1:16" ht="17.25" customHeight="1" x14ac:dyDescent="0.3">
      <c r="A52" s="3">
        <v>593</v>
      </c>
      <c r="B52" s="446">
        <v>36250</v>
      </c>
      <c r="C52" s="447">
        <v>278450</v>
      </c>
      <c r="D52" s="457">
        <v>18778.18</v>
      </c>
      <c r="E52" s="458">
        <v>278450</v>
      </c>
      <c r="F52" s="463"/>
      <c r="G52" s="460">
        <v>2</v>
      </c>
      <c r="H52" s="2">
        <f t="shared" si="1"/>
        <v>11600</v>
      </c>
      <c r="I52" s="454">
        <f t="shared" si="2"/>
        <v>-5871.82</v>
      </c>
      <c r="J52" s="454">
        <f t="shared" si="3"/>
        <v>0</v>
      </c>
      <c r="L52">
        <v>593</v>
      </c>
      <c r="M52">
        <v>16</v>
      </c>
      <c r="N52">
        <f t="shared" si="4"/>
        <v>2</v>
      </c>
      <c r="O52">
        <f t="shared" si="5"/>
        <v>0</v>
      </c>
      <c r="P52">
        <f t="shared" si="6"/>
        <v>0</v>
      </c>
    </row>
    <row r="53" spans="1:16" ht="17.25" customHeight="1" x14ac:dyDescent="0.3">
      <c r="A53" s="3">
        <v>625</v>
      </c>
      <c r="B53" s="446">
        <v>37700</v>
      </c>
      <c r="C53" s="447">
        <v>250605</v>
      </c>
      <c r="D53" s="457">
        <v>23142.51</v>
      </c>
      <c r="E53" s="458">
        <v>194915</v>
      </c>
      <c r="F53" s="461">
        <v>2900</v>
      </c>
      <c r="G53" s="355">
        <f t="shared" si="0"/>
        <v>2</v>
      </c>
      <c r="H53" s="2">
        <f t="shared" si="1"/>
        <v>11600</v>
      </c>
      <c r="I53" s="454">
        <f t="shared" si="2"/>
        <v>-2957.4900000000052</v>
      </c>
      <c r="J53" s="454">
        <f t="shared" si="3"/>
        <v>-55690</v>
      </c>
      <c r="L53">
        <v>625</v>
      </c>
      <c r="M53">
        <v>16</v>
      </c>
      <c r="N53">
        <f t="shared" si="4"/>
        <v>2</v>
      </c>
      <c r="O53">
        <f t="shared" si="5"/>
        <v>0</v>
      </c>
      <c r="P53">
        <f t="shared" si="6"/>
        <v>0</v>
      </c>
    </row>
    <row r="54" spans="1:16" ht="17.25" customHeight="1" x14ac:dyDescent="0.3">
      <c r="A54" s="3">
        <v>627</v>
      </c>
      <c r="B54" s="446">
        <v>257915</v>
      </c>
      <c r="C54" s="447">
        <v>417675</v>
      </c>
      <c r="D54" s="457">
        <v>37594.1</v>
      </c>
      <c r="E54" s="458">
        <v>417675</v>
      </c>
      <c r="F54" s="461">
        <v>4350</v>
      </c>
      <c r="G54" s="355">
        <f t="shared" si="0"/>
        <v>3</v>
      </c>
      <c r="H54" s="2">
        <f t="shared" si="1"/>
        <v>17400</v>
      </c>
      <c r="I54" s="454">
        <f t="shared" si="2"/>
        <v>-202920.9</v>
      </c>
      <c r="J54" s="454">
        <f t="shared" si="3"/>
        <v>0</v>
      </c>
      <c r="L54">
        <v>627</v>
      </c>
      <c r="M54">
        <v>19</v>
      </c>
      <c r="N54">
        <f t="shared" si="4"/>
        <v>2.375</v>
      </c>
      <c r="O54">
        <f t="shared" si="5"/>
        <v>0</v>
      </c>
      <c r="P54">
        <f t="shared" si="6"/>
        <v>0.625</v>
      </c>
    </row>
    <row r="55" spans="1:16" ht="17.25" customHeight="1" x14ac:dyDescent="0.3">
      <c r="A55" s="3">
        <v>639</v>
      </c>
      <c r="B55" s="446">
        <v>0</v>
      </c>
      <c r="C55" s="447">
        <v>389830</v>
      </c>
      <c r="D55" s="457"/>
      <c r="E55" s="458">
        <v>389830</v>
      </c>
      <c r="F55" s="463"/>
      <c r="G55" s="355">
        <f t="shared" si="0"/>
        <v>0</v>
      </c>
      <c r="H55" s="2">
        <f t="shared" si="1"/>
        <v>0</v>
      </c>
      <c r="I55" s="454">
        <f t="shared" si="2"/>
        <v>0</v>
      </c>
      <c r="J55" s="454">
        <f t="shared" si="3"/>
        <v>0</v>
      </c>
      <c r="L55">
        <v>639</v>
      </c>
      <c r="M55">
        <v>0</v>
      </c>
      <c r="N55">
        <f t="shared" si="4"/>
        <v>0</v>
      </c>
      <c r="O55">
        <f t="shared" si="5"/>
        <v>0</v>
      </c>
      <c r="P55">
        <f t="shared" si="6"/>
        <v>0</v>
      </c>
    </row>
    <row r="56" spans="1:16" ht="17.25" customHeight="1" x14ac:dyDescent="0.3">
      <c r="A56" s="3">
        <v>641</v>
      </c>
      <c r="B56" s="446">
        <v>18850</v>
      </c>
      <c r="C56" s="447">
        <v>306295</v>
      </c>
      <c r="D56" s="457">
        <v>11507.9</v>
      </c>
      <c r="E56" s="458">
        <v>306295</v>
      </c>
      <c r="F56" s="461">
        <v>1450</v>
      </c>
      <c r="G56" s="355">
        <f t="shared" si="0"/>
        <v>1</v>
      </c>
      <c r="H56" s="2">
        <f t="shared" si="1"/>
        <v>5800</v>
      </c>
      <c r="I56" s="454">
        <f t="shared" si="2"/>
        <v>-1542.0999999999985</v>
      </c>
      <c r="J56" s="454">
        <f t="shared" si="3"/>
        <v>0</v>
      </c>
      <c r="L56">
        <v>641</v>
      </c>
      <c r="M56">
        <v>8</v>
      </c>
      <c r="N56">
        <f t="shared" si="4"/>
        <v>1</v>
      </c>
      <c r="O56">
        <f t="shared" si="5"/>
        <v>0</v>
      </c>
      <c r="P56">
        <f t="shared" si="6"/>
        <v>0</v>
      </c>
    </row>
    <row r="57" spans="1:16" ht="17.25" customHeight="1" x14ac:dyDescent="0.3">
      <c r="A57" s="3">
        <v>667</v>
      </c>
      <c r="B57" s="446">
        <v>26100</v>
      </c>
      <c r="C57" s="447">
        <v>445520</v>
      </c>
      <c r="D57" s="457">
        <v>23078.3</v>
      </c>
      <c r="E57" s="458">
        <v>445520</v>
      </c>
      <c r="F57" s="461">
        <v>2900</v>
      </c>
      <c r="G57" s="355">
        <f t="shared" si="0"/>
        <v>2</v>
      </c>
      <c r="H57" s="2">
        <f t="shared" si="1"/>
        <v>11600</v>
      </c>
      <c r="I57" s="454">
        <f t="shared" si="2"/>
        <v>8578.3000000000029</v>
      </c>
      <c r="J57" s="454">
        <f t="shared" si="3"/>
        <v>0</v>
      </c>
      <c r="L57">
        <v>667</v>
      </c>
      <c r="M57">
        <v>8</v>
      </c>
      <c r="N57">
        <f t="shared" si="4"/>
        <v>1</v>
      </c>
      <c r="O57">
        <f t="shared" si="5"/>
        <v>0</v>
      </c>
      <c r="P57">
        <f t="shared" si="6"/>
        <v>1</v>
      </c>
    </row>
    <row r="58" spans="1:16" ht="17.25" customHeight="1" x14ac:dyDescent="0.3">
      <c r="A58" s="3">
        <v>689</v>
      </c>
      <c r="B58" s="446">
        <v>34720.400000000001</v>
      </c>
      <c r="C58" s="476">
        <f>152649.6</f>
        <v>152649.60000000001</v>
      </c>
      <c r="D58" s="457">
        <v>22743.4</v>
      </c>
      <c r="E58" s="458">
        <v>139225</v>
      </c>
      <c r="F58" s="461">
        <v>2523</v>
      </c>
      <c r="G58" s="355">
        <v>2</v>
      </c>
      <c r="H58" s="2">
        <f t="shared" si="1"/>
        <v>11600</v>
      </c>
      <c r="I58" s="454">
        <f t="shared" si="2"/>
        <v>-377</v>
      </c>
      <c r="K58" s="475">
        <f>E58-C58</f>
        <v>-13424.600000000006</v>
      </c>
      <c r="L58">
        <v>689</v>
      </c>
      <c r="M58">
        <v>4</v>
      </c>
      <c r="N58">
        <f t="shared" si="4"/>
        <v>0.5</v>
      </c>
      <c r="O58">
        <f t="shared" si="5"/>
        <v>0</v>
      </c>
      <c r="P58">
        <f t="shared" si="6"/>
        <v>1.5</v>
      </c>
    </row>
    <row r="59" spans="1:16" ht="17.25" customHeight="1" x14ac:dyDescent="0.3">
      <c r="A59" s="3">
        <v>690</v>
      </c>
      <c r="B59" s="446">
        <v>59450</v>
      </c>
      <c r="C59" s="447">
        <v>278450</v>
      </c>
      <c r="D59" s="457">
        <v>34722.9</v>
      </c>
      <c r="E59" s="458">
        <v>278450</v>
      </c>
      <c r="F59" s="461">
        <v>2900</v>
      </c>
      <c r="G59" s="355">
        <f t="shared" si="0"/>
        <v>2</v>
      </c>
      <c r="H59" s="2">
        <f t="shared" si="1"/>
        <v>11600</v>
      </c>
      <c r="I59" s="454">
        <f t="shared" si="2"/>
        <v>-13127.099999999999</v>
      </c>
      <c r="J59" s="454">
        <f t="shared" si="3"/>
        <v>0</v>
      </c>
      <c r="L59">
        <v>690</v>
      </c>
      <c r="M59">
        <v>24</v>
      </c>
      <c r="N59">
        <f t="shared" si="4"/>
        <v>3</v>
      </c>
      <c r="O59">
        <f t="shared" si="5"/>
        <v>0</v>
      </c>
      <c r="P59">
        <f t="shared" si="6"/>
        <v>-1</v>
      </c>
    </row>
    <row r="60" spans="1:16" ht="17.25" customHeight="1" x14ac:dyDescent="0.3">
      <c r="A60" s="3" t="s">
        <v>68</v>
      </c>
      <c r="B60" s="446">
        <v>26100</v>
      </c>
      <c r="C60" s="447">
        <v>167070</v>
      </c>
      <c r="D60" s="457">
        <v>23122</v>
      </c>
      <c r="E60" s="458">
        <v>139225</v>
      </c>
      <c r="F60" s="461">
        <v>2900</v>
      </c>
      <c r="G60" s="355">
        <f t="shared" si="0"/>
        <v>2</v>
      </c>
      <c r="H60" s="2">
        <f t="shared" si="1"/>
        <v>11600</v>
      </c>
      <c r="I60" s="454">
        <f t="shared" si="2"/>
        <v>8622</v>
      </c>
      <c r="J60" s="454">
        <f t="shared" si="3"/>
        <v>-27845</v>
      </c>
      <c r="K60" t="s">
        <v>201</v>
      </c>
      <c r="L60">
        <v>691</v>
      </c>
      <c r="M60">
        <v>0</v>
      </c>
      <c r="N60">
        <f t="shared" si="4"/>
        <v>0</v>
      </c>
      <c r="O60" t="e">
        <f t="shared" si="5"/>
        <v>#VALUE!</v>
      </c>
      <c r="P60">
        <f t="shared" si="6"/>
        <v>2</v>
      </c>
    </row>
    <row r="61" spans="1:16" ht="17.25" customHeight="1" x14ac:dyDescent="0.3">
      <c r="A61" s="3" t="s">
        <v>192</v>
      </c>
      <c r="B61" s="446">
        <v>10150</v>
      </c>
      <c r="C61" s="447">
        <v>334140</v>
      </c>
      <c r="D61" s="457">
        <v>10142.51</v>
      </c>
      <c r="E61" s="458">
        <v>334140</v>
      </c>
      <c r="F61" s="461">
        <v>1450</v>
      </c>
      <c r="G61" s="355">
        <f t="shared" si="0"/>
        <v>1</v>
      </c>
      <c r="H61" s="2">
        <f t="shared" si="1"/>
        <v>5800</v>
      </c>
      <c r="I61" s="454">
        <f t="shared" si="2"/>
        <v>5792.51</v>
      </c>
      <c r="J61" s="454">
        <f t="shared" si="3"/>
        <v>0</v>
      </c>
      <c r="L61" s="2" t="s">
        <v>93</v>
      </c>
      <c r="M61" s="2">
        <v>0</v>
      </c>
      <c r="N61" s="2">
        <f t="shared" si="4"/>
        <v>0</v>
      </c>
    </row>
    <row r="62" spans="1:16" ht="17.25" customHeight="1" x14ac:dyDescent="0.3">
      <c r="A62" s="3" t="s">
        <v>193</v>
      </c>
      <c r="B62" s="446">
        <v>183111.24</v>
      </c>
      <c r="C62" s="447">
        <v>417675</v>
      </c>
      <c r="D62" s="457">
        <v>105850</v>
      </c>
      <c r="E62" s="458">
        <v>417675</v>
      </c>
      <c r="F62" s="461">
        <v>1698</v>
      </c>
      <c r="G62" s="355">
        <v>1</v>
      </c>
      <c r="H62" s="2">
        <f t="shared" si="1"/>
        <v>5800</v>
      </c>
      <c r="I62" s="454">
        <f t="shared" si="2"/>
        <v>-71461.239999999991</v>
      </c>
      <c r="J62" s="454">
        <f t="shared" si="3"/>
        <v>0</v>
      </c>
      <c r="L62" s="2" t="s">
        <v>94</v>
      </c>
      <c r="M62" s="2">
        <v>8</v>
      </c>
      <c r="N62" s="2">
        <f t="shared" si="4"/>
        <v>1</v>
      </c>
    </row>
    <row r="63" spans="1:16" ht="17.25" customHeight="1" x14ac:dyDescent="0.3">
      <c r="A63" s="3" t="s">
        <v>194</v>
      </c>
      <c r="B63" s="446">
        <v>98600</v>
      </c>
      <c r="C63" s="447">
        <v>278450</v>
      </c>
      <c r="D63" s="457">
        <v>50670.3</v>
      </c>
      <c r="E63" s="458">
        <v>278450</v>
      </c>
      <c r="F63" s="461">
        <v>7250</v>
      </c>
      <c r="G63" s="355">
        <f t="shared" si="0"/>
        <v>5</v>
      </c>
      <c r="H63" s="2">
        <f t="shared" si="1"/>
        <v>29000</v>
      </c>
      <c r="I63" s="454">
        <f t="shared" si="2"/>
        <v>-18929.699999999997</v>
      </c>
      <c r="J63" s="454">
        <f t="shared" si="3"/>
        <v>0</v>
      </c>
      <c r="L63" s="2" t="s">
        <v>96</v>
      </c>
      <c r="M63" s="2">
        <v>48</v>
      </c>
      <c r="N63" s="2">
        <f t="shared" si="4"/>
        <v>6</v>
      </c>
    </row>
    <row r="64" spans="1:16" ht="17.25" customHeight="1" x14ac:dyDescent="0.3">
      <c r="A64" s="3" t="s">
        <v>195</v>
      </c>
      <c r="B64" s="446">
        <v>0</v>
      </c>
      <c r="C64" s="447">
        <v>55690</v>
      </c>
      <c r="D64" s="457"/>
      <c r="E64" s="458">
        <v>55690</v>
      </c>
      <c r="F64" s="463"/>
      <c r="G64" s="355">
        <f t="shared" si="0"/>
        <v>0</v>
      </c>
      <c r="H64" s="2">
        <f t="shared" si="1"/>
        <v>0</v>
      </c>
      <c r="I64" s="454">
        <f t="shared" si="2"/>
        <v>0</v>
      </c>
      <c r="J64" s="454">
        <f t="shared" si="3"/>
        <v>0</v>
      </c>
      <c r="L64" s="2" t="s">
        <v>97</v>
      </c>
      <c r="M64" s="2">
        <v>3</v>
      </c>
      <c r="N64" s="2">
        <f t="shared" si="4"/>
        <v>0.375</v>
      </c>
    </row>
    <row r="65" spans="1:14" ht="17.25" customHeight="1" x14ac:dyDescent="0.3">
      <c r="A65" s="3" t="s">
        <v>196</v>
      </c>
      <c r="B65" s="446">
        <v>31900</v>
      </c>
      <c r="C65" s="447">
        <v>222760</v>
      </c>
      <c r="D65" s="457">
        <v>21860.9</v>
      </c>
      <c r="E65" s="458">
        <v>222760</v>
      </c>
      <c r="F65" s="461">
        <v>2900</v>
      </c>
      <c r="G65" s="355">
        <f t="shared" si="0"/>
        <v>2</v>
      </c>
      <c r="H65" s="2">
        <f t="shared" si="1"/>
        <v>11600</v>
      </c>
      <c r="I65" s="454">
        <f t="shared" si="2"/>
        <v>1560.9000000000015</v>
      </c>
      <c r="J65" s="454">
        <f t="shared" si="3"/>
        <v>0</v>
      </c>
      <c r="L65" s="2" t="s">
        <v>98</v>
      </c>
      <c r="M65" s="2">
        <v>80</v>
      </c>
      <c r="N65" s="2">
        <f t="shared" si="4"/>
        <v>10</v>
      </c>
    </row>
    <row r="66" spans="1:14" ht="17.25" customHeight="1" x14ac:dyDescent="0.3">
      <c r="A66" s="3" t="s">
        <v>197</v>
      </c>
      <c r="B66" s="446">
        <v>18850</v>
      </c>
      <c r="C66" s="447">
        <v>361985</v>
      </c>
      <c r="D66" s="457">
        <v>11527.51</v>
      </c>
      <c r="E66" s="458">
        <v>361985</v>
      </c>
      <c r="F66" s="461">
        <v>1450</v>
      </c>
      <c r="G66" s="355">
        <f t="shared" si="0"/>
        <v>1</v>
      </c>
      <c r="H66" s="2">
        <f t="shared" si="1"/>
        <v>5800</v>
      </c>
      <c r="I66" s="454">
        <f t="shared" si="2"/>
        <v>-1522.489999999998</v>
      </c>
      <c r="J66" s="454">
        <f t="shared" si="3"/>
        <v>0</v>
      </c>
      <c r="L66" s="2" t="s">
        <v>100</v>
      </c>
      <c r="M66" s="2">
        <v>0</v>
      </c>
      <c r="N66" s="2">
        <f t="shared" si="4"/>
        <v>0</v>
      </c>
    </row>
    <row r="67" spans="1:14" ht="17.25" customHeight="1" x14ac:dyDescent="0.3">
      <c r="A67" s="3" t="s">
        <v>198</v>
      </c>
      <c r="B67" s="446">
        <v>0</v>
      </c>
      <c r="C67" s="447">
        <v>139225</v>
      </c>
      <c r="D67" s="457"/>
      <c r="E67" s="458">
        <v>139225</v>
      </c>
      <c r="F67" s="463"/>
      <c r="G67" s="355">
        <f t="shared" si="0"/>
        <v>0</v>
      </c>
      <c r="H67" s="2">
        <f t="shared" si="1"/>
        <v>0</v>
      </c>
      <c r="I67" s="454">
        <f t="shared" si="2"/>
        <v>0</v>
      </c>
      <c r="J67" s="454">
        <f t="shared" si="3"/>
        <v>0</v>
      </c>
      <c r="L67" s="2" t="s">
        <v>101</v>
      </c>
      <c r="M67" s="2">
        <v>28</v>
      </c>
      <c r="N67" s="2">
        <f t="shared" si="4"/>
        <v>3.5</v>
      </c>
    </row>
    <row r="68" spans="1:14" ht="17.25" customHeight="1" x14ac:dyDescent="0.3">
      <c r="A68" s="3" t="s">
        <v>199</v>
      </c>
      <c r="B68" s="446">
        <v>37700</v>
      </c>
      <c r="C68" s="447">
        <v>167070</v>
      </c>
      <c r="D68" s="457">
        <v>23200</v>
      </c>
      <c r="E68" s="458">
        <v>167070</v>
      </c>
      <c r="F68" s="463">
        <v>2900</v>
      </c>
      <c r="G68" s="355">
        <f>F68/$C$1</f>
        <v>2</v>
      </c>
      <c r="H68" s="2">
        <f>G68*$C$1*$D$1</f>
        <v>11600</v>
      </c>
      <c r="I68" s="454">
        <f>D68+H68-B68</f>
        <v>-2900</v>
      </c>
      <c r="J68" s="454">
        <f>E68-C68</f>
        <v>0</v>
      </c>
      <c r="L68" s="2" t="s">
        <v>102</v>
      </c>
      <c r="M68" s="2">
        <v>40</v>
      </c>
      <c r="N68" s="2">
        <f t="shared" ref="N68:N74" si="7">M68/8</f>
        <v>5</v>
      </c>
    </row>
    <row r="69" spans="1:14" ht="17.25" customHeight="1" x14ac:dyDescent="0.3">
      <c r="A69" s="3" t="s">
        <v>75</v>
      </c>
      <c r="B69" s="446">
        <v>97150</v>
      </c>
      <c r="C69" s="447">
        <v>473365</v>
      </c>
      <c r="D69" s="457">
        <v>54996.9</v>
      </c>
      <c r="E69" s="458">
        <v>473365</v>
      </c>
      <c r="F69" s="463">
        <v>4350</v>
      </c>
      <c r="G69" s="355">
        <f>F69/$C$1</f>
        <v>3</v>
      </c>
      <c r="H69" s="2">
        <f>G69*$C$1*$D$1</f>
        <v>17400</v>
      </c>
      <c r="I69" s="454">
        <f>D69+H69-B69</f>
        <v>-24753.100000000006</v>
      </c>
      <c r="J69" s="454">
        <f>E69-C69</f>
        <v>0</v>
      </c>
      <c r="L69" s="2" t="s">
        <v>103</v>
      </c>
      <c r="M69" s="2">
        <v>16</v>
      </c>
      <c r="N69" s="2">
        <f t="shared" si="7"/>
        <v>2</v>
      </c>
    </row>
    <row r="70" spans="1:14" ht="17.25" customHeight="1" x14ac:dyDescent="0.3">
      <c r="A70" s="3" t="s">
        <v>74</v>
      </c>
      <c r="B70" s="446">
        <v>81200</v>
      </c>
      <c r="C70" s="447">
        <v>334140</v>
      </c>
      <c r="D70" s="457">
        <v>57862.52</v>
      </c>
      <c r="E70" s="458">
        <v>334140</v>
      </c>
      <c r="F70" s="461">
        <v>5800</v>
      </c>
      <c r="G70" s="355">
        <f>F70/$C$1</f>
        <v>4</v>
      </c>
      <c r="H70" s="2">
        <f>G70*$C$1*$D$1</f>
        <v>23200</v>
      </c>
      <c r="I70" s="454">
        <f>D70+H70-B70</f>
        <v>-137.48000000001048</v>
      </c>
      <c r="J70" s="454">
        <f>E70-C70</f>
        <v>0</v>
      </c>
      <c r="L70" s="2" t="s">
        <v>69</v>
      </c>
      <c r="M70" s="2">
        <v>0</v>
      </c>
      <c r="N70" s="2">
        <f t="shared" si="7"/>
        <v>0</v>
      </c>
    </row>
    <row r="71" spans="1:14" ht="17.25" customHeight="1" x14ac:dyDescent="0.3">
      <c r="A71" s="3" t="s">
        <v>70</v>
      </c>
      <c r="B71" s="446">
        <v>42050</v>
      </c>
      <c r="C71" s="447">
        <v>55690</v>
      </c>
      <c r="D71" s="457">
        <v>27485.4</v>
      </c>
      <c r="E71" s="458">
        <v>55690</v>
      </c>
      <c r="F71" s="461">
        <v>2900</v>
      </c>
      <c r="G71" s="355">
        <f>F71/$C$1</f>
        <v>2</v>
      </c>
      <c r="H71" s="2">
        <f>G71*$C$1*$D$1</f>
        <v>11600</v>
      </c>
      <c r="I71" s="454">
        <f>D71+H71-B71</f>
        <v>-2964.5999999999985</v>
      </c>
      <c r="J71" s="454">
        <f>E71-C71</f>
        <v>0</v>
      </c>
      <c r="L71" s="2" t="s">
        <v>104</v>
      </c>
      <c r="M71" s="2">
        <v>12</v>
      </c>
      <c r="N71" s="2">
        <f t="shared" si="7"/>
        <v>1.5</v>
      </c>
    </row>
    <row r="72" spans="1:14" ht="17.25" customHeight="1" x14ac:dyDescent="0.3">
      <c r="A72" s="3" t="s">
        <v>119</v>
      </c>
      <c r="B72" s="446">
        <v>0</v>
      </c>
      <c r="C72" s="447">
        <v>167070</v>
      </c>
      <c r="D72" s="457"/>
      <c r="E72" s="458">
        <v>167070</v>
      </c>
      <c r="F72" s="463"/>
      <c r="G72" s="355">
        <f>F72/$C$1</f>
        <v>0</v>
      </c>
      <c r="H72" s="2">
        <f>G72*$C$1*$D$1</f>
        <v>0</v>
      </c>
      <c r="I72" s="454">
        <f>D72+H72-B72</f>
        <v>0</v>
      </c>
      <c r="J72" s="454">
        <f>E72-C72</f>
        <v>0</v>
      </c>
      <c r="L72" s="2" t="s">
        <v>105</v>
      </c>
      <c r="M72" s="2">
        <v>16</v>
      </c>
      <c r="N72" s="2">
        <f t="shared" si="7"/>
        <v>2</v>
      </c>
    </row>
    <row r="73" spans="1:14" ht="17.25" customHeight="1" x14ac:dyDescent="0.3">
      <c r="A73" s="451" t="s">
        <v>185</v>
      </c>
      <c r="B73" s="452">
        <v>2765581.64</v>
      </c>
      <c r="C73" s="1">
        <f>SUM(C3:C72)</f>
        <v>20061824.600000001</v>
      </c>
      <c r="D73" s="1">
        <f>SUM(D3:D72)</f>
        <v>1609358.6399999997</v>
      </c>
      <c r="E73" s="1">
        <f>SUM(E3:E72)</f>
        <v>19769838.949999999</v>
      </c>
      <c r="F73" s="462">
        <f>SUM(F3:F72)</f>
        <v>179668.5</v>
      </c>
      <c r="G73" s="462">
        <f>SUM(G3:G72)</f>
        <v>126</v>
      </c>
      <c r="I73" s="1">
        <f>SUM(I3:I72)</f>
        <v>-425422.99999999988</v>
      </c>
      <c r="J73" s="1">
        <f>SUM(J3:J72)</f>
        <v>-278450</v>
      </c>
      <c r="L73" s="2" t="s">
        <v>106</v>
      </c>
      <c r="M73" s="2">
        <v>8</v>
      </c>
      <c r="N73" s="2">
        <f t="shared" si="7"/>
        <v>1</v>
      </c>
    </row>
    <row r="74" spans="1:14" ht="17.25" customHeight="1" x14ac:dyDescent="0.3">
      <c r="L74" s="2" t="s">
        <v>108</v>
      </c>
      <c r="M74" s="2">
        <v>0</v>
      </c>
      <c r="N74" s="2">
        <f t="shared" si="7"/>
        <v>0</v>
      </c>
    </row>
    <row r="75" spans="1:14" ht="17.25" customHeight="1" x14ac:dyDescent="0.3">
      <c r="C75">
        <f>C58/B1</f>
        <v>5.4821188723289644</v>
      </c>
      <c r="E75">
        <f>E73/B1</f>
        <v>709.99601185131974</v>
      </c>
      <c r="I75" s="1"/>
      <c r="J75">
        <f>J73/B1</f>
        <v>-10</v>
      </c>
    </row>
    <row r="76" spans="1:14" ht="17.25" customHeight="1" x14ac:dyDescent="0.3">
      <c r="J76" s="1"/>
    </row>
    <row r="78" spans="1:14" ht="17.25" customHeight="1" x14ac:dyDescent="0.3">
      <c r="C78">
        <f>C73/B1</f>
        <v>720.48211887232901</v>
      </c>
    </row>
    <row r="79" spans="1:14" ht="17.25" customHeight="1" x14ac:dyDescent="0.3">
      <c r="C79">
        <v>14420.4</v>
      </c>
      <c r="D79" t="s">
        <v>225</v>
      </c>
      <c r="J79" s="1"/>
    </row>
    <row r="81" spans="2:3" ht="17.25" customHeight="1" x14ac:dyDescent="0.3">
      <c r="B81" s="1"/>
      <c r="C81" s="1"/>
    </row>
  </sheetData>
  <autoFilter ref="A2:J75" xr:uid="{00000000-0009-0000-0000-00000C000000}"/>
  <sortState xmlns:xlrd2="http://schemas.microsoft.com/office/spreadsheetml/2017/richdata2" ref="A3:E72">
    <sortCondition ref="A3:A72"/>
  </sortState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2"/>
  <sheetViews>
    <sheetView view="pageBreakPreview" zoomScale="82" zoomScaleNormal="64" zoomScaleSheetLayoutView="82" workbookViewId="0">
      <selection activeCell="B44" sqref="A44:XFD44"/>
    </sheetView>
  </sheetViews>
  <sheetFormatPr defaultColWidth="9.109375" defaultRowHeight="14.4" x14ac:dyDescent="0.3"/>
  <cols>
    <col min="1" max="1" width="14.6640625" style="41" customWidth="1"/>
    <col min="2" max="2" width="11.6640625" style="438" customWidth="1"/>
    <col min="3" max="3" width="10.33203125" style="438" customWidth="1"/>
    <col min="4" max="4" width="9.109375" style="438"/>
    <col min="5" max="5" width="14" style="438" customWidth="1"/>
    <col min="6" max="6" width="25.44140625" style="438" customWidth="1"/>
    <col min="7" max="7" width="18.33203125" style="438" customWidth="1"/>
    <col min="8" max="8" width="18.109375" style="41" customWidth="1"/>
    <col min="9" max="9" width="19.6640625" style="41" customWidth="1"/>
    <col min="10" max="10" width="19.6640625" style="41" hidden="1" customWidth="1"/>
    <col min="11" max="11" width="19.33203125" style="41" hidden="1" customWidth="1"/>
    <col min="12" max="12" width="16.109375" style="41" hidden="1" customWidth="1"/>
    <col min="13" max="13" width="19.88671875" style="41" customWidth="1"/>
    <col min="14" max="14" width="28.109375" style="41" customWidth="1"/>
    <col min="15" max="16384" width="9.109375" style="41"/>
  </cols>
  <sheetData>
    <row r="1" spans="1:22" x14ac:dyDescent="0.3">
      <c r="N1" s="464"/>
    </row>
    <row r="2" spans="1:22" x14ac:dyDescent="0.3">
      <c r="A2" s="630" t="s">
        <v>203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465"/>
      <c r="P2" s="465"/>
      <c r="Q2" s="465"/>
      <c r="R2" s="465"/>
      <c r="S2" s="465"/>
      <c r="T2" s="465"/>
      <c r="U2" s="465"/>
      <c r="V2" s="465"/>
    </row>
    <row r="3" spans="1:22" ht="31.2" customHeight="1" x14ac:dyDescent="0.3">
      <c r="A3" s="466"/>
      <c r="B3" s="631" t="s">
        <v>204</v>
      </c>
      <c r="C3" s="631"/>
      <c r="D3" s="631"/>
      <c r="E3" s="631"/>
      <c r="F3" s="631"/>
      <c r="G3" s="631"/>
      <c r="H3" s="631"/>
      <c r="I3" s="631"/>
      <c r="J3" s="631"/>
      <c r="K3" s="631"/>
      <c r="L3" s="466"/>
      <c r="M3" s="466"/>
      <c r="N3" s="466"/>
      <c r="O3" s="465"/>
      <c r="P3" s="465"/>
      <c r="Q3" s="465"/>
      <c r="R3" s="465"/>
      <c r="S3" s="465"/>
      <c r="T3" s="465"/>
      <c r="U3" s="465"/>
      <c r="V3" s="465"/>
    </row>
    <row r="4" spans="1:22" x14ac:dyDescent="0.3">
      <c r="A4" s="465"/>
      <c r="B4" s="465"/>
      <c r="C4" s="465"/>
      <c r="D4" s="465"/>
      <c r="E4" s="465"/>
      <c r="F4" s="465"/>
      <c r="G4" s="465"/>
      <c r="H4" s="465"/>
      <c r="I4" s="465"/>
      <c r="J4" s="467">
        <v>-1</v>
      </c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</row>
    <row r="5" spans="1:22" ht="72" x14ac:dyDescent="0.3">
      <c r="A5" s="468" t="s">
        <v>205</v>
      </c>
      <c r="B5" s="468" t="s">
        <v>206</v>
      </c>
      <c r="C5" s="468" t="s">
        <v>207</v>
      </c>
      <c r="D5" s="468" t="s">
        <v>129</v>
      </c>
      <c r="E5" s="468" t="s">
        <v>208</v>
      </c>
      <c r="F5" s="468" t="s">
        <v>209</v>
      </c>
      <c r="G5" s="468" t="s">
        <v>210</v>
      </c>
      <c r="H5" s="468" t="s">
        <v>211</v>
      </c>
      <c r="I5" s="468" t="s">
        <v>212</v>
      </c>
      <c r="J5" s="468" t="s">
        <v>213</v>
      </c>
      <c r="K5" s="468" t="s">
        <v>214</v>
      </c>
      <c r="L5" s="468" t="s">
        <v>215</v>
      </c>
      <c r="M5" s="468" t="s">
        <v>215</v>
      </c>
      <c r="N5" s="468" t="s">
        <v>216</v>
      </c>
      <c r="O5" s="465"/>
      <c r="P5" s="465"/>
      <c r="Q5" s="465"/>
      <c r="R5" s="465"/>
      <c r="S5" s="465"/>
      <c r="T5" s="465"/>
      <c r="U5" s="465"/>
      <c r="V5" s="465"/>
    </row>
    <row r="6" spans="1:22" x14ac:dyDescent="0.3">
      <c r="A6" s="468">
        <v>1</v>
      </c>
      <c r="B6" s="468">
        <v>2</v>
      </c>
      <c r="C6" s="468">
        <v>3</v>
      </c>
      <c r="D6" s="468">
        <v>4</v>
      </c>
      <c r="E6" s="468">
        <v>5</v>
      </c>
      <c r="F6" s="468">
        <v>6</v>
      </c>
      <c r="G6" s="468">
        <v>7</v>
      </c>
      <c r="H6" s="468">
        <v>8</v>
      </c>
      <c r="I6" s="468">
        <v>9</v>
      </c>
      <c r="J6" s="468">
        <v>8</v>
      </c>
      <c r="K6" s="468">
        <v>9</v>
      </c>
      <c r="L6" s="468">
        <v>8</v>
      </c>
      <c r="M6" s="468">
        <v>10</v>
      </c>
      <c r="N6" s="468">
        <v>11</v>
      </c>
      <c r="O6" s="465"/>
      <c r="P6" s="465"/>
      <c r="Q6" s="465"/>
      <c r="R6" s="465"/>
      <c r="S6" s="465"/>
      <c r="T6" s="465"/>
      <c r="U6" s="465"/>
      <c r="V6" s="465"/>
    </row>
    <row r="7" spans="1:22" ht="80.25" customHeight="1" x14ac:dyDescent="0.3">
      <c r="A7" s="632" t="s">
        <v>205</v>
      </c>
      <c r="B7" s="469" t="s">
        <v>217</v>
      </c>
      <c r="C7" s="469">
        <v>321</v>
      </c>
      <c r="D7" s="469">
        <v>262</v>
      </c>
      <c r="E7" s="469">
        <v>710</v>
      </c>
      <c r="F7" s="474">
        <f>11138*2.5</f>
        <v>27845</v>
      </c>
      <c r="G7" s="474">
        <f>E7*F7</f>
        <v>19769950</v>
      </c>
      <c r="H7" s="470">
        <v>20061824</v>
      </c>
      <c r="I7" s="470">
        <f>G7-H7</f>
        <v>-291874</v>
      </c>
      <c r="J7" s="470" t="e">
        <f>#REF!*$J$4</f>
        <v>#REF!</v>
      </c>
      <c r="K7" s="470" t="e">
        <f>#REF!*$J$4</f>
        <v>#REF!</v>
      </c>
      <c r="L7" s="74"/>
      <c r="M7" s="470">
        <f>I7</f>
        <v>-291874</v>
      </c>
      <c r="N7" s="471" t="s">
        <v>218</v>
      </c>
      <c r="O7" s="465"/>
      <c r="P7" s="465"/>
      <c r="Q7" s="465"/>
      <c r="R7" s="465"/>
      <c r="S7" s="465"/>
      <c r="T7" s="465"/>
      <c r="U7" s="465"/>
      <c r="V7" s="465"/>
    </row>
    <row r="8" spans="1:22" ht="82.2" customHeight="1" x14ac:dyDescent="0.3">
      <c r="A8" s="633"/>
      <c r="B8" s="469" t="s">
        <v>217</v>
      </c>
      <c r="C8" s="469">
        <v>112</v>
      </c>
      <c r="D8" s="469">
        <v>212</v>
      </c>
      <c r="E8" s="469">
        <v>146</v>
      </c>
      <c r="F8" s="474">
        <v>1450</v>
      </c>
      <c r="G8" s="474">
        <f>E8*F8*12+4091.33</f>
        <v>2544491.33</v>
      </c>
      <c r="H8" s="470">
        <v>2765581</v>
      </c>
      <c r="I8" s="470">
        <f>G8-H8</f>
        <v>-221089.66999999993</v>
      </c>
      <c r="J8" s="470" t="e">
        <f>J7*$J$4</f>
        <v>#REF!</v>
      </c>
      <c r="K8" s="470" t="e">
        <f>K7*$J$4</f>
        <v>#REF!</v>
      </c>
      <c r="L8" s="74"/>
      <c r="M8" s="470">
        <f>I8</f>
        <v>-221089.66999999993</v>
      </c>
      <c r="N8" s="471" t="s">
        <v>219</v>
      </c>
      <c r="O8" s="465"/>
      <c r="P8" s="465"/>
      <c r="Q8" s="465"/>
      <c r="R8" s="465"/>
      <c r="S8" s="465"/>
      <c r="T8" s="465"/>
      <c r="U8" s="465"/>
      <c r="V8" s="465"/>
    </row>
    <row r="10" spans="1:22" x14ac:dyDescent="0.3">
      <c r="A10" s="634" t="s">
        <v>220</v>
      </c>
      <c r="B10" s="635"/>
      <c r="C10" s="635"/>
      <c r="D10" s="635"/>
      <c r="E10" s="635"/>
      <c r="F10" s="635"/>
      <c r="G10" s="635"/>
      <c r="H10" s="635"/>
      <c r="I10" s="472" t="s">
        <v>221</v>
      </c>
      <c r="J10" s="465"/>
      <c r="K10" s="465"/>
      <c r="L10" s="465"/>
      <c r="M10" s="465"/>
      <c r="N10" s="465"/>
      <c r="O10" s="465"/>
      <c r="P10" s="465"/>
      <c r="Q10" s="465"/>
      <c r="R10" s="465"/>
    </row>
    <row r="11" spans="1:22" x14ac:dyDescent="0.3">
      <c r="H11" s="473">
        <v>559900</v>
      </c>
    </row>
    <row r="12" spans="1:22" x14ac:dyDescent="0.3">
      <c r="N12" s="92">
        <f>-291985.65-M7</f>
        <v>-111.65000000002328</v>
      </c>
    </row>
    <row r="17" spans="9:14" x14ac:dyDescent="0.3">
      <c r="M17" s="92">
        <v>-1283535</v>
      </c>
      <c r="N17" s="41" t="s">
        <v>222</v>
      </c>
    </row>
    <row r="18" spans="9:14" x14ac:dyDescent="0.3">
      <c r="M18" s="92">
        <v>-3203501.33</v>
      </c>
      <c r="N18" s="41" t="s">
        <v>223</v>
      </c>
    </row>
    <row r="19" spans="9:14" x14ac:dyDescent="0.3">
      <c r="I19" s="92"/>
      <c r="M19" s="92">
        <f>SUM(M7:M8)</f>
        <v>-512963.66999999993</v>
      </c>
      <c r="N19" s="41" t="s">
        <v>224</v>
      </c>
    </row>
    <row r="20" spans="9:14" x14ac:dyDescent="0.3">
      <c r="M20" s="92">
        <f>SUM(M17:M19)</f>
        <v>-5000000</v>
      </c>
    </row>
    <row r="22" spans="9:14" x14ac:dyDescent="0.3">
      <c r="M22" s="92">
        <f>M20+5000000</f>
        <v>0</v>
      </c>
      <c r="N22" s="92"/>
    </row>
  </sheetData>
  <mergeCells count="4">
    <mergeCell ref="A2:N2"/>
    <mergeCell ref="B3:K3"/>
    <mergeCell ref="A7:A8"/>
    <mergeCell ref="A10:H10"/>
  </mergeCells>
  <printOptions horizontalCentered="1"/>
  <pageMargins left="0" right="0" top="0" bottom="0.19685039370078741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82"/>
  <sheetViews>
    <sheetView workbookViewId="0">
      <selection activeCell="B44" sqref="A44:XFD44"/>
    </sheetView>
  </sheetViews>
  <sheetFormatPr defaultColWidth="54" defaultRowHeight="17.25" customHeight="1" x14ac:dyDescent="0.3"/>
  <cols>
    <col min="1" max="1" width="17.6640625" customWidth="1"/>
    <col min="2" max="2" width="13.6640625" customWidth="1"/>
    <col min="3" max="4" width="17" customWidth="1"/>
    <col min="5" max="5" width="18.5546875" customWidth="1"/>
    <col min="6" max="8" width="16" style="362" customWidth="1"/>
    <col min="9" max="9" width="19.6640625" style="362" customWidth="1"/>
    <col min="10" max="10" width="16" style="362" customWidth="1"/>
    <col min="11" max="14" width="5.5546875" style="362" customWidth="1"/>
    <col min="15" max="15" width="16" style="362" customWidth="1"/>
    <col min="16" max="16" width="10.33203125" style="362" customWidth="1"/>
    <col min="17" max="17" width="15.33203125" style="362" customWidth="1"/>
    <col min="18" max="18" width="16.6640625" customWidth="1"/>
    <col min="19" max="19" width="16.109375" customWidth="1"/>
    <col min="20" max="20" width="15.5546875" customWidth="1"/>
    <col min="21" max="21" width="11.6640625" customWidth="1"/>
    <col min="22" max="22" width="7.33203125" customWidth="1"/>
    <col min="23" max="23" width="5.6640625" customWidth="1"/>
    <col min="24" max="24" width="12.33203125" customWidth="1"/>
    <col min="25" max="25" width="10.5546875" customWidth="1"/>
    <col min="26" max="26" width="18.109375" customWidth="1"/>
  </cols>
  <sheetData>
    <row r="1" spans="1:25" ht="17.25" customHeight="1" x14ac:dyDescent="0.3">
      <c r="B1">
        <v>27845</v>
      </c>
      <c r="C1">
        <v>1450</v>
      </c>
      <c r="D1">
        <v>3</v>
      </c>
      <c r="G1" s="362">
        <v>2018</v>
      </c>
      <c r="H1" s="362">
        <v>2018</v>
      </c>
      <c r="I1" s="362">
        <v>2018</v>
      </c>
      <c r="J1" s="362">
        <v>2018</v>
      </c>
      <c r="R1" t="s">
        <v>202</v>
      </c>
      <c r="X1" s="277" t="s">
        <v>229</v>
      </c>
    </row>
    <row r="2" spans="1:25" ht="51" customHeight="1" x14ac:dyDescent="0.3">
      <c r="A2" s="445" t="s">
        <v>184</v>
      </c>
      <c r="B2" s="448">
        <v>212</v>
      </c>
      <c r="C2" s="449">
        <v>262</v>
      </c>
      <c r="D2" s="455" t="s">
        <v>186</v>
      </c>
      <c r="E2" s="456" t="s">
        <v>187</v>
      </c>
      <c r="F2" s="459" t="s">
        <v>200</v>
      </c>
      <c r="G2" s="459" t="s">
        <v>322</v>
      </c>
      <c r="H2" s="459" t="s">
        <v>323</v>
      </c>
      <c r="I2" s="459" t="s">
        <v>324</v>
      </c>
      <c r="J2" s="459" t="s">
        <v>325</v>
      </c>
      <c r="K2" s="459" t="s">
        <v>322</v>
      </c>
      <c r="L2" s="459" t="s">
        <v>323</v>
      </c>
      <c r="M2" s="459" t="s">
        <v>324</v>
      </c>
      <c r="N2" s="459" t="s">
        <v>325</v>
      </c>
      <c r="O2" s="459"/>
      <c r="P2" s="459" t="s">
        <v>189</v>
      </c>
      <c r="Q2" s="459" t="s">
        <v>226</v>
      </c>
      <c r="R2" s="450" t="s">
        <v>188</v>
      </c>
      <c r="S2" s="453" t="s">
        <v>190</v>
      </c>
      <c r="T2" s="482" t="s">
        <v>191</v>
      </c>
      <c r="U2" s="485"/>
      <c r="V2" s="486" t="s">
        <v>228</v>
      </c>
      <c r="W2" s="486" t="s">
        <v>90</v>
      </c>
      <c r="X2" s="485">
        <v>262</v>
      </c>
      <c r="Y2" s="485">
        <v>212</v>
      </c>
    </row>
    <row r="3" spans="1:25" ht="17.25" customHeight="1" x14ac:dyDescent="0.3">
      <c r="A3" s="3">
        <v>13</v>
      </c>
      <c r="B3" s="446">
        <v>69600</v>
      </c>
      <c r="C3" s="447">
        <v>306295</v>
      </c>
      <c r="D3" s="477">
        <v>52110.8</v>
      </c>
      <c r="E3" s="458">
        <v>306295</v>
      </c>
      <c r="F3" s="461">
        <v>5800</v>
      </c>
      <c r="G3" s="493" t="s">
        <v>237</v>
      </c>
      <c r="H3" s="493" t="s">
        <v>237</v>
      </c>
      <c r="I3" s="493" t="s">
        <v>237</v>
      </c>
      <c r="J3" s="493" t="s">
        <v>237</v>
      </c>
      <c r="K3" s="495">
        <v>3</v>
      </c>
      <c r="L3" s="495">
        <v>3</v>
      </c>
      <c r="M3" s="495">
        <v>3</v>
      </c>
      <c r="N3" s="495">
        <v>3</v>
      </c>
      <c r="O3" s="461">
        <f>K3-P3-Q3</f>
        <v>-1</v>
      </c>
      <c r="P3" s="355">
        <f t="shared" ref="P3:P11" si="0">F3/$C$1</f>
        <v>4</v>
      </c>
      <c r="Q3" s="355"/>
      <c r="R3" s="2">
        <f>(K3+L3+M3)*$C$1</f>
        <v>13050</v>
      </c>
      <c r="S3" s="515">
        <f>D3+R3-B3</f>
        <v>-4439.1999999999971</v>
      </c>
      <c r="T3" s="483">
        <f t="shared" ref="T3:T34" si="1">E3-C3</f>
        <v>0</v>
      </c>
      <c r="U3" s="487">
        <v>13</v>
      </c>
      <c r="V3" s="485">
        <f>C3/$B$1</f>
        <v>11</v>
      </c>
      <c r="W3" s="485">
        <f>E3/$B$1</f>
        <v>11</v>
      </c>
      <c r="X3" s="488">
        <f>E3-C3</f>
        <v>0</v>
      </c>
      <c r="Y3" s="485"/>
    </row>
    <row r="4" spans="1:25" ht="17.25" customHeight="1" x14ac:dyDescent="0.3">
      <c r="A4" s="3">
        <v>14</v>
      </c>
      <c r="B4" s="446">
        <v>0</v>
      </c>
      <c r="C4" s="447">
        <v>222760</v>
      </c>
      <c r="D4" s="478"/>
      <c r="E4" s="458">
        <v>222760</v>
      </c>
      <c r="F4" s="463"/>
      <c r="G4" s="493" t="s">
        <v>238</v>
      </c>
      <c r="H4" s="493" t="s">
        <v>238</v>
      </c>
      <c r="I4" s="493" t="s">
        <v>238</v>
      </c>
      <c r="J4" s="493" t="s">
        <v>238</v>
      </c>
      <c r="K4" s="495">
        <v>0</v>
      </c>
      <c r="L4" s="495">
        <v>0</v>
      </c>
      <c r="M4" s="495">
        <v>0</v>
      </c>
      <c r="N4" s="495">
        <v>0</v>
      </c>
      <c r="O4" s="461">
        <f t="shared" ref="O4:O67" si="2">K4-P4-Q4</f>
        <v>0</v>
      </c>
      <c r="P4" s="355">
        <f t="shared" si="0"/>
        <v>0</v>
      </c>
      <c r="Q4" s="355"/>
      <c r="R4" s="2">
        <f t="shared" ref="R4:R67" si="3">(K4+L4+M4)*$C$1</f>
        <v>0</v>
      </c>
      <c r="S4" s="515">
        <f t="shared" ref="S4:S67" si="4">D4+R4-B4</f>
        <v>0</v>
      </c>
      <c r="T4" s="483">
        <f t="shared" si="1"/>
        <v>0</v>
      </c>
      <c r="U4" s="487">
        <v>14</v>
      </c>
      <c r="V4" s="485">
        <f t="shared" ref="V4:V67" si="5">C4/$B$1</f>
        <v>8</v>
      </c>
      <c r="W4" s="485">
        <f t="shared" ref="W4:W67" si="6">E4/$B$1</f>
        <v>8</v>
      </c>
      <c r="X4" s="488">
        <f t="shared" ref="X4:X67" si="7">E4-C4</f>
        <v>0</v>
      </c>
      <c r="Y4" s="485"/>
    </row>
    <row r="5" spans="1:25" ht="17.25" customHeight="1" x14ac:dyDescent="0.3">
      <c r="A5" s="3">
        <v>17</v>
      </c>
      <c r="B5" s="446">
        <v>100050</v>
      </c>
      <c r="C5" s="447">
        <v>417675</v>
      </c>
      <c r="D5" s="477">
        <v>78257</v>
      </c>
      <c r="E5" s="458">
        <v>417675</v>
      </c>
      <c r="F5" s="461">
        <v>8700</v>
      </c>
      <c r="G5" s="493" t="s">
        <v>298</v>
      </c>
      <c r="H5" s="493" t="s">
        <v>299</v>
      </c>
      <c r="I5" s="493" t="s">
        <v>299</v>
      </c>
      <c r="J5" s="493" t="s">
        <v>299</v>
      </c>
      <c r="K5" s="495">
        <v>9</v>
      </c>
      <c r="L5" s="495">
        <v>6</v>
      </c>
      <c r="M5" s="495">
        <v>6</v>
      </c>
      <c r="N5" s="495">
        <v>6</v>
      </c>
      <c r="O5" s="461">
        <f t="shared" si="2"/>
        <v>0</v>
      </c>
      <c r="P5" s="355">
        <f t="shared" si="0"/>
        <v>6</v>
      </c>
      <c r="Q5" s="355">
        <v>3</v>
      </c>
      <c r="R5" s="2">
        <f t="shared" si="3"/>
        <v>30450</v>
      </c>
      <c r="S5" s="515">
        <f t="shared" si="4"/>
        <v>8657</v>
      </c>
      <c r="T5" s="483">
        <f t="shared" si="1"/>
        <v>0</v>
      </c>
      <c r="U5" s="487">
        <v>17</v>
      </c>
      <c r="V5" s="485">
        <f t="shared" si="5"/>
        <v>15</v>
      </c>
      <c r="W5" s="485">
        <f t="shared" si="6"/>
        <v>15</v>
      </c>
      <c r="X5" s="488">
        <f t="shared" si="7"/>
        <v>0</v>
      </c>
      <c r="Y5" s="485"/>
    </row>
    <row r="6" spans="1:25" ht="17.25" customHeight="1" x14ac:dyDescent="0.3">
      <c r="A6" s="3">
        <v>20</v>
      </c>
      <c r="B6" s="446">
        <v>75400</v>
      </c>
      <c r="C6" s="447">
        <v>278450</v>
      </c>
      <c r="D6" s="477">
        <v>52064.1</v>
      </c>
      <c r="E6" s="458">
        <v>278450</v>
      </c>
      <c r="F6" s="461">
        <v>5800</v>
      </c>
      <c r="G6" s="493" t="s">
        <v>239</v>
      </c>
      <c r="H6" s="493" t="s">
        <v>240</v>
      </c>
      <c r="I6" s="493" t="s">
        <v>239</v>
      </c>
      <c r="J6" s="493" t="s">
        <v>240</v>
      </c>
      <c r="K6" s="495">
        <v>3</v>
      </c>
      <c r="L6" s="495">
        <v>3</v>
      </c>
      <c r="M6" s="495">
        <v>3</v>
      </c>
      <c r="N6" s="495">
        <v>3</v>
      </c>
      <c r="O6" s="461">
        <f t="shared" si="2"/>
        <v>-1</v>
      </c>
      <c r="P6" s="355">
        <f t="shared" si="0"/>
        <v>4</v>
      </c>
      <c r="Q6" s="355"/>
      <c r="R6" s="2">
        <f t="shared" si="3"/>
        <v>13050</v>
      </c>
      <c r="S6" s="515">
        <f t="shared" si="4"/>
        <v>-10285.900000000001</v>
      </c>
      <c r="T6" s="483">
        <f t="shared" si="1"/>
        <v>0</v>
      </c>
      <c r="U6" s="487">
        <v>20</v>
      </c>
      <c r="V6" s="485">
        <f t="shared" si="5"/>
        <v>10</v>
      </c>
      <c r="W6" s="485">
        <f t="shared" si="6"/>
        <v>10</v>
      </c>
      <c r="X6" s="488">
        <f t="shared" si="7"/>
        <v>0</v>
      </c>
      <c r="Y6" s="485"/>
    </row>
    <row r="7" spans="1:25" ht="17.25" customHeight="1" x14ac:dyDescent="0.3">
      <c r="A7" s="3">
        <v>23</v>
      </c>
      <c r="B7" s="446">
        <v>46400</v>
      </c>
      <c r="C7" s="447">
        <v>361985</v>
      </c>
      <c r="D7" s="477">
        <v>25991.599999999999</v>
      </c>
      <c r="E7" s="458">
        <v>361985</v>
      </c>
      <c r="F7" s="461">
        <v>2900</v>
      </c>
      <c r="G7" s="493" t="s">
        <v>241</v>
      </c>
      <c r="H7" s="493" t="s">
        <v>242</v>
      </c>
      <c r="I7" s="493" t="s">
        <v>241</v>
      </c>
      <c r="J7" s="493" t="s">
        <v>242</v>
      </c>
      <c r="K7" s="495">
        <v>0</v>
      </c>
      <c r="L7" s="495">
        <v>0</v>
      </c>
      <c r="M7" s="495">
        <v>0</v>
      </c>
      <c r="N7" s="495">
        <v>0</v>
      </c>
      <c r="O7" s="461">
        <f t="shared" si="2"/>
        <v>-2</v>
      </c>
      <c r="P7" s="355">
        <f t="shared" si="0"/>
        <v>2</v>
      </c>
      <c r="Q7" s="355"/>
      <c r="R7" s="2">
        <f t="shared" si="3"/>
        <v>0</v>
      </c>
      <c r="S7" s="515">
        <f t="shared" si="4"/>
        <v>-20408.400000000001</v>
      </c>
      <c r="T7" s="483">
        <f t="shared" si="1"/>
        <v>0</v>
      </c>
      <c r="U7" s="487">
        <v>23</v>
      </c>
      <c r="V7" s="485">
        <f t="shared" si="5"/>
        <v>13</v>
      </c>
      <c r="W7" s="485">
        <f t="shared" si="6"/>
        <v>13</v>
      </c>
      <c r="X7" s="488">
        <f t="shared" si="7"/>
        <v>0</v>
      </c>
      <c r="Y7" s="485"/>
    </row>
    <row r="8" spans="1:25" ht="17.25" customHeight="1" x14ac:dyDescent="0.3">
      <c r="A8" s="3">
        <v>26</v>
      </c>
      <c r="B8" s="446">
        <v>18850</v>
      </c>
      <c r="C8" s="447">
        <v>361985</v>
      </c>
      <c r="D8" s="477">
        <v>12908.7</v>
      </c>
      <c r="E8" s="458">
        <v>361985</v>
      </c>
      <c r="F8" s="461">
        <v>1450</v>
      </c>
      <c r="G8" s="493" t="s">
        <v>330</v>
      </c>
      <c r="H8" s="493" t="s">
        <v>330</v>
      </c>
      <c r="I8" s="493" t="s">
        <v>330</v>
      </c>
      <c r="J8" s="493" t="s">
        <v>330</v>
      </c>
      <c r="K8" s="495">
        <v>2</v>
      </c>
      <c r="L8" s="495">
        <v>2</v>
      </c>
      <c r="M8" s="495">
        <v>2</v>
      </c>
      <c r="N8" s="495">
        <v>2</v>
      </c>
      <c r="O8" s="461">
        <f t="shared" si="2"/>
        <v>0</v>
      </c>
      <c r="P8" s="355">
        <f t="shared" si="0"/>
        <v>1</v>
      </c>
      <c r="Q8" s="355">
        <v>1</v>
      </c>
      <c r="R8" s="2">
        <f t="shared" si="3"/>
        <v>8700</v>
      </c>
      <c r="S8" s="515">
        <f t="shared" si="4"/>
        <v>2758.7000000000007</v>
      </c>
      <c r="T8" s="483">
        <f t="shared" si="1"/>
        <v>0</v>
      </c>
      <c r="U8" s="487">
        <v>26</v>
      </c>
      <c r="V8" s="485">
        <f t="shared" si="5"/>
        <v>13</v>
      </c>
      <c r="W8" s="485">
        <f t="shared" si="6"/>
        <v>13</v>
      </c>
      <c r="X8" s="488">
        <f t="shared" si="7"/>
        <v>0</v>
      </c>
      <c r="Y8" s="485"/>
    </row>
    <row r="9" spans="1:25" ht="17.25" customHeight="1" x14ac:dyDescent="0.3">
      <c r="A9" s="3">
        <v>34</v>
      </c>
      <c r="B9" s="446">
        <v>31900</v>
      </c>
      <c r="C9" s="447">
        <v>473365</v>
      </c>
      <c r="D9" s="477">
        <v>20225.8</v>
      </c>
      <c r="E9" s="458">
        <v>445520</v>
      </c>
      <c r="F9" s="461">
        <v>1450</v>
      </c>
      <c r="G9" s="493" t="s">
        <v>301</v>
      </c>
      <c r="H9" s="493" t="s">
        <v>301</v>
      </c>
      <c r="I9" s="493" t="s">
        <v>301</v>
      </c>
      <c r="J9" s="493" t="s">
        <v>301</v>
      </c>
      <c r="K9" s="495">
        <v>1</v>
      </c>
      <c r="L9" s="495">
        <v>1</v>
      </c>
      <c r="M9" s="495">
        <v>1</v>
      </c>
      <c r="N9" s="495">
        <v>1</v>
      </c>
      <c r="O9" s="461">
        <f t="shared" si="2"/>
        <v>-1</v>
      </c>
      <c r="P9" s="355">
        <f t="shared" si="0"/>
        <v>1</v>
      </c>
      <c r="Q9" s="355">
        <v>1</v>
      </c>
      <c r="R9" s="2">
        <f t="shared" si="3"/>
        <v>4350</v>
      </c>
      <c r="S9" s="515">
        <f t="shared" si="4"/>
        <v>-7324.2000000000007</v>
      </c>
      <c r="T9" s="483">
        <f t="shared" si="1"/>
        <v>-27845</v>
      </c>
      <c r="U9" s="487">
        <v>34</v>
      </c>
      <c r="V9" s="485">
        <f t="shared" si="5"/>
        <v>17</v>
      </c>
      <c r="W9" s="485">
        <f t="shared" si="6"/>
        <v>16</v>
      </c>
      <c r="X9" s="488">
        <f t="shared" si="7"/>
        <v>-27845</v>
      </c>
      <c r="Y9" s="485"/>
    </row>
    <row r="10" spans="1:25" ht="17.25" customHeight="1" x14ac:dyDescent="0.3">
      <c r="A10" s="3">
        <v>39</v>
      </c>
      <c r="B10" s="446">
        <v>37700</v>
      </c>
      <c r="C10" s="447">
        <v>222760</v>
      </c>
      <c r="D10" s="477">
        <v>39054.1</v>
      </c>
      <c r="E10" s="458">
        <v>222760</v>
      </c>
      <c r="F10" s="461">
        <v>4350</v>
      </c>
      <c r="G10" s="493" t="s">
        <v>243</v>
      </c>
      <c r="H10" s="493" t="s">
        <v>243</v>
      </c>
      <c r="I10" s="493" t="s">
        <v>243</v>
      </c>
      <c r="J10" s="493" t="s">
        <v>243</v>
      </c>
      <c r="K10" s="495">
        <v>1</v>
      </c>
      <c r="L10" s="495">
        <v>1</v>
      </c>
      <c r="M10" s="495">
        <v>1</v>
      </c>
      <c r="N10" s="495">
        <v>1</v>
      </c>
      <c r="O10" s="461">
        <f t="shared" si="2"/>
        <v>-2</v>
      </c>
      <c r="P10" s="355">
        <f t="shared" si="0"/>
        <v>3</v>
      </c>
      <c r="Q10" s="355"/>
      <c r="R10" s="2">
        <f t="shared" si="3"/>
        <v>4350</v>
      </c>
      <c r="S10" s="515">
        <f t="shared" si="4"/>
        <v>5704.0999999999985</v>
      </c>
      <c r="T10" s="483">
        <f t="shared" si="1"/>
        <v>0</v>
      </c>
      <c r="U10" s="487">
        <v>39</v>
      </c>
      <c r="V10" s="485">
        <f t="shared" si="5"/>
        <v>8</v>
      </c>
      <c r="W10" s="485">
        <f t="shared" si="6"/>
        <v>8</v>
      </c>
      <c r="X10" s="488">
        <f t="shared" si="7"/>
        <v>0</v>
      </c>
      <c r="Y10" s="485"/>
    </row>
    <row r="11" spans="1:25" ht="17.25" customHeight="1" x14ac:dyDescent="0.3">
      <c r="A11" s="3">
        <v>268</v>
      </c>
      <c r="B11" s="446">
        <v>17400</v>
      </c>
      <c r="C11" s="447">
        <v>250605</v>
      </c>
      <c r="D11" s="477">
        <v>12985.8</v>
      </c>
      <c r="E11" s="458">
        <v>250605</v>
      </c>
      <c r="F11" s="461">
        <v>1450</v>
      </c>
      <c r="G11" s="493" t="s">
        <v>244</v>
      </c>
      <c r="H11" s="493" t="s">
        <v>244</v>
      </c>
      <c r="I11" s="493" t="s">
        <v>244</v>
      </c>
      <c r="J11" s="493" t="s">
        <v>244</v>
      </c>
      <c r="K11" s="495">
        <v>1</v>
      </c>
      <c r="L11" s="495">
        <v>1</v>
      </c>
      <c r="M11" s="495">
        <v>1</v>
      </c>
      <c r="N11" s="495">
        <v>1</v>
      </c>
      <c r="O11" s="461">
        <f t="shared" si="2"/>
        <v>0</v>
      </c>
      <c r="P11" s="355">
        <f t="shared" si="0"/>
        <v>1</v>
      </c>
      <c r="Q11" s="355"/>
      <c r="R11" s="2">
        <f t="shared" si="3"/>
        <v>4350</v>
      </c>
      <c r="S11" s="515">
        <f t="shared" si="4"/>
        <v>-64.200000000000728</v>
      </c>
      <c r="T11" s="483">
        <f t="shared" si="1"/>
        <v>0</v>
      </c>
      <c r="U11" s="487">
        <v>268</v>
      </c>
      <c r="V11" s="485">
        <f t="shared" si="5"/>
        <v>9</v>
      </c>
      <c r="W11" s="485">
        <f t="shared" si="6"/>
        <v>9</v>
      </c>
      <c r="X11" s="488">
        <f t="shared" si="7"/>
        <v>0</v>
      </c>
      <c r="Y11" s="485"/>
    </row>
    <row r="12" spans="1:25" s="513" customFormat="1" ht="29.25" customHeight="1" x14ac:dyDescent="0.3">
      <c r="A12" s="499">
        <v>323</v>
      </c>
      <c r="B12" s="500">
        <v>34800</v>
      </c>
      <c r="C12" s="501">
        <v>334140</v>
      </c>
      <c r="D12" s="502">
        <v>23200</v>
      </c>
      <c r="E12" s="503">
        <v>334140</v>
      </c>
      <c r="F12" s="504">
        <v>2899</v>
      </c>
      <c r="G12" s="505" t="s">
        <v>309</v>
      </c>
      <c r="H12" s="505" t="s">
        <v>309</v>
      </c>
      <c r="I12" s="505" t="s">
        <v>309</v>
      </c>
      <c r="J12" s="505" t="s">
        <v>309</v>
      </c>
      <c r="K12" s="506">
        <v>1</v>
      </c>
      <c r="L12" s="506">
        <v>1</v>
      </c>
      <c r="M12" s="506">
        <v>1</v>
      </c>
      <c r="N12" s="506">
        <v>1</v>
      </c>
      <c r="O12" s="507">
        <f t="shared" si="2"/>
        <v>-2</v>
      </c>
      <c r="P12" s="508">
        <v>2</v>
      </c>
      <c r="Q12" s="508">
        <v>1</v>
      </c>
      <c r="R12" s="2">
        <f t="shared" si="3"/>
        <v>4350</v>
      </c>
      <c r="S12" s="515">
        <f t="shared" si="4"/>
        <v>-7250</v>
      </c>
      <c r="T12" s="509">
        <f t="shared" si="1"/>
        <v>0</v>
      </c>
      <c r="U12" s="510">
        <v>323</v>
      </c>
      <c r="V12" s="511">
        <f t="shared" si="5"/>
        <v>12</v>
      </c>
      <c r="W12" s="511">
        <f t="shared" si="6"/>
        <v>12</v>
      </c>
      <c r="X12" s="512">
        <f t="shared" si="7"/>
        <v>0</v>
      </c>
      <c r="Y12" s="511"/>
    </row>
    <row r="13" spans="1:25" ht="17.25" customHeight="1" x14ac:dyDescent="0.3">
      <c r="A13" s="3">
        <v>326</v>
      </c>
      <c r="B13" s="446">
        <v>0</v>
      </c>
      <c r="C13" s="447">
        <v>83535</v>
      </c>
      <c r="D13" s="477"/>
      <c r="E13" s="458">
        <v>83535</v>
      </c>
      <c r="F13" s="463"/>
      <c r="G13" s="493" t="s">
        <v>245</v>
      </c>
      <c r="H13" s="493" t="s">
        <v>246</v>
      </c>
      <c r="I13" s="493" t="s">
        <v>246</v>
      </c>
      <c r="J13" s="493" t="s">
        <v>246</v>
      </c>
      <c r="K13" s="495">
        <v>0</v>
      </c>
      <c r="L13" s="495">
        <v>0</v>
      </c>
      <c r="M13" s="495">
        <v>0</v>
      </c>
      <c r="N13" s="495">
        <v>0</v>
      </c>
      <c r="O13" s="461">
        <f t="shared" si="2"/>
        <v>0</v>
      </c>
      <c r="P13" s="355">
        <f t="shared" ref="P13:P24" si="8">F13/$C$1</f>
        <v>0</v>
      </c>
      <c r="Q13" s="355"/>
      <c r="R13" s="2">
        <f t="shared" si="3"/>
        <v>0</v>
      </c>
      <c r="S13" s="515">
        <f t="shared" si="4"/>
        <v>0</v>
      </c>
      <c r="T13" s="483">
        <f t="shared" si="1"/>
        <v>0</v>
      </c>
      <c r="U13" s="487">
        <v>326</v>
      </c>
      <c r="V13" s="485">
        <f t="shared" si="5"/>
        <v>3</v>
      </c>
      <c r="W13" s="485">
        <f t="shared" si="6"/>
        <v>3</v>
      </c>
      <c r="X13" s="488">
        <f t="shared" si="7"/>
        <v>0</v>
      </c>
      <c r="Y13" s="485"/>
    </row>
    <row r="14" spans="1:25" ht="17.25" customHeight="1" x14ac:dyDescent="0.3">
      <c r="A14" s="3">
        <v>327</v>
      </c>
      <c r="B14" s="446">
        <v>52200</v>
      </c>
      <c r="C14" s="447">
        <v>334140</v>
      </c>
      <c r="D14" s="477">
        <v>39082.9</v>
      </c>
      <c r="E14" s="458">
        <v>334140</v>
      </c>
      <c r="F14" s="461">
        <v>4350</v>
      </c>
      <c r="G14" s="493" t="s">
        <v>304</v>
      </c>
      <c r="H14" s="493" t="s">
        <v>303</v>
      </c>
      <c r="I14" s="493" t="s">
        <v>303</v>
      </c>
      <c r="J14" s="493" t="s">
        <v>303</v>
      </c>
      <c r="K14" s="495">
        <v>3</v>
      </c>
      <c r="L14" s="495">
        <v>4</v>
      </c>
      <c r="M14" s="495">
        <v>4</v>
      </c>
      <c r="N14" s="495">
        <v>4</v>
      </c>
      <c r="O14" s="461">
        <f t="shared" si="2"/>
        <v>-2</v>
      </c>
      <c r="P14" s="355">
        <f t="shared" si="8"/>
        <v>3</v>
      </c>
      <c r="Q14" s="355">
        <v>2</v>
      </c>
      <c r="R14" s="2">
        <f t="shared" si="3"/>
        <v>15950</v>
      </c>
      <c r="S14" s="515">
        <f t="shared" si="4"/>
        <v>2832.9000000000015</v>
      </c>
      <c r="T14" s="483">
        <f t="shared" si="1"/>
        <v>0</v>
      </c>
      <c r="U14" s="487">
        <v>327</v>
      </c>
      <c r="V14" s="485">
        <f t="shared" si="5"/>
        <v>12</v>
      </c>
      <c r="W14" s="485">
        <f t="shared" si="6"/>
        <v>12</v>
      </c>
      <c r="X14" s="488">
        <f t="shared" si="7"/>
        <v>0</v>
      </c>
      <c r="Y14" s="485"/>
    </row>
    <row r="15" spans="1:25" ht="17.25" customHeight="1" x14ac:dyDescent="0.3">
      <c r="A15" s="3">
        <v>328</v>
      </c>
      <c r="B15" s="446">
        <v>13050</v>
      </c>
      <c r="C15" s="447">
        <v>306295</v>
      </c>
      <c r="D15" s="477">
        <v>12925.4</v>
      </c>
      <c r="E15" s="458">
        <v>306295</v>
      </c>
      <c r="F15" s="461">
        <v>1450</v>
      </c>
      <c r="G15" s="493" t="s">
        <v>302</v>
      </c>
      <c r="H15" s="493" t="s">
        <v>302</v>
      </c>
      <c r="I15" s="493" t="s">
        <v>302</v>
      </c>
      <c r="J15" s="493" t="s">
        <v>302</v>
      </c>
      <c r="K15" s="495">
        <v>1</v>
      </c>
      <c r="L15" s="495">
        <v>1</v>
      </c>
      <c r="M15" s="495">
        <v>1</v>
      </c>
      <c r="N15" s="495">
        <v>1</v>
      </c>
      <c r="O15" s="461">
        <f t="shared" si="2"/>
        <v>-1</v>
      </c>
      <c r="P15" s="355">
        <f t="shared" si="8"/>
        <v>1</v>
      </c>
      <c r="Q15" s="355">
        <v>1</v>
      </c>
      <c r="R15" s="2">
        <f t="shared" si="3"/>
        <v>4350</v>
      </c>
      <c r="S15" s="515">
        <f t="shared" si="4"/>
        <v>4225.4000000000015</v>
      </c>
      <c r="T15" s="483">
        <f t="shared" si="1"/>
        <v>0</v>
      </c>
      <c r="U15" s="487">
        <v>328</v>
      </c>
      <c r="V15" s="485">
        <f t="shared" si="5"/>
        <v>11</v>
      </c>
      <c r="W15" s="485">
        <f t="shared" si="6"/>
        <v>11</v>
      </c>
      <c r="X15" s="488">
        <f t="shared" si="7"/>
        <v>0</v>
      </c>
      <c r="Y15" s="485"/>
    </row>
    <row r="16" spans="1:25" ht="17.25" customHeight="1" x14ac:dyDescent="0.3">
      <c r="A16" s="3">
        <v>329</v>
      </c>
      <c r="B16" s="446">
        <v>0</v>
      </c>
      <c r="C16" s="447">
        <v>278450</v>
      </c>
      <c r="D16" s="477"/>
      <c r="E16" s="458">
        <v>250605</v>
      </c>
      <c r="F16" s="463"/>
      <c r="G16" s="493" t="s">
        <v>238</v>
      </c>
      <c r="H16" s="493" t="s">
        <v>238</v>
      </c>
      <c r="I16" s="493" t="s">
        <v>238</v>
      </c>
      <c r="J16" s="493" t="s">
        <v>238</v>
      </c>
      <c r="K16" s="495">
        <v>0</v>
      </c>
      <c r="L16" s="495">
        <v>0</v>
      </c>
      <c r="M16" s="495">
        <v>0</v>
      </c>
      <c r="N16" s="495">
        <v>0</v>
      </c>
      <c r="O16" s="461">
        <f t="shared" si="2"/>
        <v>0</v>
      </c>
      <c r="P16" s="355">
        <f t="shared" si="8"/>
        <v>0</v>
      </c>
      <c r="Q16" s="355"/>
      <c r="R16" s="2">
        <f t="shared" si="3"/>
        <v>0</v>
      </c>
      <c r="S16" s="515">
        <f t="shared" si="4"/>
        <v>0</v>
      </c>
      <c r="T16" s="483">
        <f t="shared" si="1"/>
        <v>-27845</v>
      </c>
      <c r="U16" s="487">
        <v>329</v>
      </c>
      <c r="V16" s="485">
        <f t="shared" si="5"/>
        <v>10</v>
      </c>
      <c r="W16" s="485">
        <f t="shared" si="6"/>
        <v>9</v>
      </c>
      <c r="X16" s="488">
        <f t="shared" si="7"/>
        <v>-27845</v>
      </c>
      <c r="Y16" s="485"/>
    </row>
    <row r="17" spans="1:25" ht="17.25" customHeight="1" x14ac:dyDescent="0.3">
      <c r="A17" s="3">
        <v>330</v>
      </c>
      <c r="B17" s="446">
        <v>37700</v>
      </c>
      <c r="C17" s="447">
        <v>250605</v>
      </c>
      <c r="D17" s="477">
        <v>23060.400000000001</v>
      </c>
      <c r="E17" s="458">
        <v>250605</v>
      </c>
      <c r="F17" s="463">
        <v>1450</v>
      </c>
      <c r="G17" s="493" t="s">
        <v>248</v>
      </c>
      <c r="H17" s="493" t="s">
        <v>248</v>
      </c>
      <c r="I17" s="493" t="s">
        <v>248</v>
      </c>
      <c r="J17" s="493" t="s">
        <v>248</v>
      </c>
      <c r="K17" s="495">
        <v>1</v>
      </c>
      <c r="L17" s="495">
        <v>1</v>
      </c>
      <c r="M17" s="495">
        <v>1</v>
      </c>
      <c r="N17" s="495">
        <v>1</v>
      </c>
      <c r="O17" s="461">
        <f t="shared" si="2"/>
        <v>0</v>
      </c>
      <c r="P17" s="355">
        <f t="shared" si="8"/>
        <v>1</v>
      </c>
      <c r="Q17" s="355"/>
      <c r="R17" s="2">
        <f t="shared" si="3"/>
        <v>4350</v>
      </c>
      <c r="S17" s="515">
        <f t="shared" si="4"/>
        <v>-10289.599999999999</v>
      </c>
      <c r="T17" s="483">
        <f t="shared" si="1"/>
        <v>0</v>
      </c>
      <c r="U17" s="487">
        <v>330</v>
      </c>
      <c r="V17" s="485">
        <f t="shared" si="5"/>
        <v>9</v>
      </c>
      <c r="W17" s="485">
        <f t="shared" si="6"/>
        <v>9</v>
      </c>
      <c r="X17" s="488">
        <f>E17-C17</f>
        <v>0</v>
      </c>
      <c r="Y17" s="485"/>
    </row>
    <row r="18" spans="1:25" ht="17.25" customHeight="1" x14ac:dyDescent="0.3">
      <c r="A18" s="3">
        <v>331</v>
      </c>
      <c r="B18" s="446">
        <v>18850</v>
      </c>
      <c r="C18" s="447">
        <v>222760</v>
      </c>
      <c r="D18" s="477">
        <v>12967.5</v>
      </c>
      <c r="E18" s="458">
        <v>222760</v>
      </c>
      <c r="F18" s="461">
        <v>1450</v>
      </c>
      <c r="G18" s="493" t="s">
        <v>249</v>
      </c>
      <c r="H18" s="493" t="s">
        <v>249</v>
      </c>
      <c r="I18" s="493" t="s">
        <v>249</v>
      </c>
      <c r="J18" s="493" t="s">
        <v>249</v>
      </c>
      <c r="K18" s="495">
        <v>1</v>
      </c>
      <c r="L18" s="495">
        <v>1</v>
      </c>
      <c r="M18" s="495">
        <v>1</v>
      </c>
      <c r="N18" s="495">
        <v>1</v>
      </c>
      <c r="O18" s="461">
        <f t="shared" si="2"/>
        <v>0</v>
      </c>
      <c r="P18" s="355">
        <f t="shared" si="8"/>
        <v>1</v>
      </c>
      <c r="Q18" s="355"/>
      <c r="R18" s="2">
        <f t="shared" si="3"/>
        <v>4350</v>
      </c>
      <c r="S18" s="515">
        <f t="shared" si="4"/>
        <v>-1532.5</v>
      </c>
      <c r="T18" s="483">
        <f t="shared" si="1"/>
        <v>0</v>
      </c>
      <c r="U18" s="487">
        <v>331</v>
      </c>
      <c r="V18" s="485">
        <f t="shared" si="5"/>
        <v>8</v>
      </c>
      <c r="W18" s="485">
        <f t="shared" si="6"/>
        <v>8</v>
      </c>
      <c r="X18" s="488">
        <f t="shared" si="7"/>
        <v>0</v>
      </c>
      <c r="Y18" s="485"/>
    </row>
    <row r="19" spans="1:25" ht="39" customHeight="1" x14ac:dyDescent="0.3">
      <c r="A19" s="3">
        <v>332</v>
      </c>
      <c r="B19" s="446">
        <v>0</v>
      </c>
      <c r="C19" s="447">
        <v>361985</v>
      </c>
      <c r="D19" s="477"/>
      <c r="E19" s="458">
        <v>361985</v>
      </c>
      <c r="F19" s="463"/>
      <c r="G19" s="519" t="s">
        <v>300</v>
      </c>
      <c r="H19" s="519" t="s">
        <v>300</v>
      </c>
      <c r="I19" s="519" t="s">
        <v>300</v>
      </c>
      <c r="J19" s="519" t="s">
        <v>300</v>
      </c>
      <c r="K19" s="495">
        <v>1</v>
      </c>
      <c r="L19" s="495">
        <v>1</v>
      </c>
      <c r="M19" s="495">
        <v>1</v>
      </c>
      <c r="N19" s="495">
        <v>1</v>
      </c>
      <c r="O19" s="461">
        <f t="shared" si="2"/>
        <v>0</v>
      </c>
      <c r="P19" s="355">
        <f t="shared" si="8"/>
        <v>0</v>
      </c>
      <c r="Q19" s="355">
        <v>1</v>
      </c>
      <c r="R19" s="2">
        <f t="shared" si="3"/>
        <v>4350</v>
      </c>
      <c r="S19" s="515">
        <f t="shared" si="4"/>
        <v>4350</v>
      </c>
      <c r="T19" s="483">
        <f t="shared" si="1"/>
        <v>0</v>
      </c>
      <c r="U19" s="487">
        <v>332</v>
      </c>
      <c r="V19" s="485">
        <f t="shared" si="5"/>
        <v>13</v>
      </c>
      <c r="W19" s="485">
        <f t="shared" si="6"/>
        <v>13</v>
      </c>
      <c r="X19" s="488">
        <f t="shared" si="7"/>
        <v>0</v>
      </c>
      <c r="Y19" s="485"/>
    </row>
    <row r="20" spans="1:25" ht="17.25" customHeight="1" x14ac:dyDescent="0.3">
      <c r="A20" s="3">
        <v>333</v>
      </c>
      <c r="B20" s="446">
        <v>0</v>
      </c>
      <c r="C20" s="447">
        <v>501210</v>
      </c>
      <c r="D20" s="477"/>
      <c r="E20" s="458">
        <v>501210</v>
      </c>
      <c r="F20" s="463"/>
      <c r="G20" s="493" t="s">
        <v>251</v>
      </c>
      <c r="H20" s="493" t="s">
        <v>238</v>
      </c>
      <c r="I20" s="493" t="s">
        <v>238</v>
      </c>
      <c r="J20" s="493" t="s">
        <v>238</v>
      </c>
      <c r="K20" s="495">
        <v>0</v>
      </c>
      <c r="L20" s="495">
        <v>0</v>
      </c>
      <c r="M20" s="495">
        <v>0</v>
      </c>
      <c r="N20" s="495">
        <v>0</v>
      </c>
      <c r="O20" s="461">
        <f t="shared" si="2"/>
        <v>0</v>
      </c>
      <c r="P20" s="355">
        <f t="shared" si="8"/>
        <v>0</v>
      </c>
      <c r="Q20" s="355"/>
      <c r="R20" s="2">
        <f t="shared" si="3"/>
        <v>0</v>
      </c>
      <c r="S20" s="515">
        <f t="shared" si="4"/>
        <v>0</v>
      </c>
      <c r="T20" s="483">
        <f t="shared" si="1"/>
        <v>0</v>
      </c>
      <c r="U20" s="487">
        <v>333</v>
      </c>
      <c r="V20" s="485">
        <f t="shared" si="5"/>
        <v>18</v>
      </c>
      <c r="W20" s="485">
        <f t="shared" si="6"/>
        <v>18</v>
      </c>
      <c r="X20" s="488">
        <f t="shared" si="7"/>
        <v>0</v>
      </c>
      <c r="Y20" s="485"/>
    </row>
    <row r="21" spans="1:25" ht="17.25" customHeight="1" x14ac:dyDescent="0.3">
      <c r="A21" s="3">
        <v>334</v>
      </c>
      <c r="B21" s="446">
        <v>56550</v>
      </c>
      <c r="C21" s="447">
        <v>139225</v>
      </c>
      <c r="D21" s="477">
        <v>39103.300000000003</v>
      </c>
      <c r="E21" s="458">
        <v>139225</v>
      </c>
      <c r="F21" s="463">
        <v>4350</v>
      </c>
      <c r="G21" s="493" t="s">
        <v>252</v>
      </c>
      <c r="H21" s="493" t="s">
        <v>252</v>
      </c>
      <c r="I21" s="493" t="s">
        <v>252</v>
      </c>
      <c r="J21" s="493" t="s">
        <v>252</v>
      </c>
      <c r="K21" s="495">
        <v>2</v>
      </c>
      <c r="L21" s="495">
        <v>2</v>
      </c>
      <c r="M21" s="495">
        <v>2</v>
      </c>
      <c r="N21" s="495">
        <v>2</v>
      </c>
      <c r="O21" s="461">
        <f t="shared" si="2"/>
        <v>-1</v>
      </c>
      <c r="P21" s="355">
        <f t="shared" si="8"/>
        <v>3</v>
      </c>
      <c r="Q21" s="355"/>
      <c r="R21" s="2">
        <f t="shared" si="3"/>
        <v>8700</v>
      </c>
      <c r="S21" s="515">
        <f t="shared" si="4"/>
        <v>-8746.6999999999971</v>
      </c>
      <c r="T21" s="483">
        <f t="shared" si="1"/>
        <v>0</v>
      </c>
      <c r="U21" s="487">
        <v>334</v>
      </c>
      <c r="V21" s="485">
        <f t="shared" si="5"/>
        <v>5</v>
      </c>
      <c r="W21" s="485">
        <f t="shared" si="6"/>
        <v>5</v>
      </c>
      <c r="X21" s="488">
        <f t="shared" si="7"/>
        <v>0</v>
      </c>
      <c r="Y21" s="485"/>
    </row>
    <row r="22" spans="1:25" ht="17.25" customHeight="1" x14ac:dyDescent="0.3">
      <c r="A22" s="3">
        <v>336</v>
      </c>
      <c r="B22" s="446">
        <v>58000</v>
      </c>
      <c r="C22" s="447">
        <v>194915</v>
      </c>
      <c r="D22" s="477">
        <v>52121.599999999999</v>
      </c>
      <c r="E22" s="458">
        <v>194915</v>
      </c>
      <c r="F22" s="461">
        <v>5800</v>
      </c>
      <c r="G22" s="493" t="s">
        <v>253</v>
      </c>
      <c r="H22" s="493" t="s">
        <v>254</v>
      </c>
      <c r="I22" s="493" t="s">
        <v>254</v>
      </c>
      <c r="J22" s="493" t="s">
        <v>254</v>
      </c>
      <c r="K22" s="495">
        <v>1</v>
      </c>
      <c r="L22" s="495">
        <v>1</v>
      </c>
      <c r="M22" s="495">
        <v>1</v>
      </c>
      <c r="N22" s="495">
        <v>1</v>
      </c>
      <c r="O22" s="461">
        <f t="shared" si="2"/>
        <v>-3</v>
      </c>
      <c r="P22" s="355">
        <f t="shared" si="8"/>
        <v>4</v>
      </c>
      <c r="Q22" s="355"/>
      <c r="R22" s="2">
        <f t="shared" si="3"/>
        <v>4350</v>
      </c>
      <c r="S22" s="515">
        <f t="shared" si="4"/>
        <v>-1528.4000000000015</v>
      </c>
      <c r="T22" s="483">
        <f t="shared" si="1"/>
        <v>0</v>
      </c>
      <c r="U22" s="487">
        <v>336</v>
      </c>
      <c r="V22" s="485">
        <f t="shared" si="5"/>
        <v>7</v>
      </c>
      <c r="W22" s="485">
        <f t="shared" si="6"/>
        <v>7</v>
      </c>
      <c r="X22" s="488">
        <f t="shared" si="7"/>
        <v>0</v>
      </c>
      <c r="Y22" s="485"/>
    </row>
    <row r="23" spans="1:25" ht="17.25" customHeight="1" x14ac:dyDescent="0.3">
      <c r="A23" s="3">
        <v>337</v>
      </c>
      <c r="B23" s="446">
        <v>37700</v>
      </c>
      <c r="C23" s="447">
        <v>250605</v>
      </c>
      <c r="D23" s="477">
        <v>26010.62</v>
      </c>
      <c r="E23" s="458">
        <v>250605</v>
      </c>
      <c r="F23" s="461">
        <v>2900</v>
      </c>
      <c r="G23" s="493" t="s">
        <v>320</v>
      </c>
      <c r="H23" s="493" t="s">
        <v>320</v>
      </c>
      <c r="I23" s="493" t="s">
        <v>320</v>
      </c>
      <c r="J23" s="493" t="s">
        <v>320</v>
      </c>
      <c r="K23" s="495">
        <v>3</v>
      </c>
      <c r="L23" s="495">
        <v>3</v>
      </c>
      <c r="M23" s="495">
        <v>3</v>
      </c>
      <c r="N23" s="495">
        <v>3</v>
      </c>
      <c r="O23" s="461">
        <f t="shared" si="2"/>
        <v>0</v>
      </c>
      <c r="P23" s="355">
        <f t="shared" si="8"/>
        <v>2</v>
      </c>
      <c r="Q23" s="355">
        <v>1</v>
      </c>
      <c r="R23" s="2">
        <f t="shared" si="3"/>
        <v>13050</v>
      </c>
      <c r="S23" s="515">
        <f t="shared" si="4"/>
        <v>1360.6199999999953</v>
      </c>
      <c r="T23" s="483">
        <f t="shared" si="1"/>
        <v>0</v>
      </c>
      <c r="U23" s="487">
        <v>337</v>
      </c>
      <c r="V23" s="485">
        <f t="shared" si="5"/>
        <v>9</v>
      </c>
      <c r="W23" s="485">
        <f t="shared" si="6"/>
        <v>9</v>
      </c>
      <c r="X23" s="488">
        <f t="shared" si="7"/>
        <v>0</v>
      </c>
      <c r="Y23" s="485"/>
    </row>
    <row r="24" spans="1:25" ht="17.25" customHeight="1" x14ac:dyDescent="0.3">
      <c r="A24" s="3">
        <v>338</v>
      </c>
      <c r="B24" s="446">
        <v>94250</v>
      </c>
      <c r="C24" s="447">
        <v>278450</v>
      </c>
      <c r="D24" s="477">
        <v>63659.1</v>
      </c>
      <c r="E24" s="458">
        <v>278450</v>
      </c>
      <c r="F24" s="461">
        <v>7250</v>
      </c>
      <c r="G24" s="493" t="s">
        <v>255</v>
      </c>
      <c r="H24" s="493" t="s">
        <v>256</v>
      </c>
      <c r="I24" s="493" t="s">
        <v>256</v>
      </c>
      <c r="J24" s="493" t="s">
        <v>256</v>
      </c>
      <c r="K24" s="495">
        <v>4</v>
      </c>
      <c r="L24" s="495">
        <v>3</v>
      </c>
      <c r="M24" s="495">
        <v>3</v>
      </c>
      <c r="N24" s="495">
        <v>3</v>
      </c>
      <c r="O24" s="461">
        <f t="shared" si="2"/>
        <v>-1</v>
      </c>
      <c r="P24" s="355">
        <f t="shared" si="8"/>
        <v>5</v>
      </c>
      <c r="Q24" s="355"/>
      <c r="R24" s="2">
        <f t="shared" si="3"/>
        <v>14500</v>
      </c>
      <c r="S24" s="515">
        <f t="shared" si="4"/>
        <v>-16090.899999999994</v>
      </c>
      <c r="T24" s="483">
        <f t="shared" si="1"/>
        <v>0</v>
      </c>
      <c r="U24" s="487">
        <v>338</v>
      </c>
      <c r="V24" s="485">
        <f t="shared" si="5"/>
        <v>10</v>
      </c>
      <c r="W24" s="485">
        <f t="shared" si="6"/>
        <v>10</v>
      </c>
      <c r="X24" s="488">
        <f t="shared" si="7"/>
        <v>0</v>
      </c>
      <c r="Y24" s="485"/>
    </row>
    <row r="25" spans="1:25" ht="17.25" customHeight="1" x14ac:dyDescent="0.3">
      <c r="A25" s="3">
        <v>339</v>
      </c>
      <c r="B25" s="446">
        <v>56550</v>
      </c>
      <c r="C25" s="447">
        <v>389830</v>
      </c>
      <c r="D25" s="477">
        <v>39048.06</v>
      </c>
      <c r="E25" s="458">
        <v>389830</v>
      </c>
      <c r="F25" s="461">
        <v>4349</v>
      </c>
      <c r="G25" s="493" t="s">
        <v>257</v>
      </c>
      <c r="H25" s="493" t="s">
        <v>257</v>
      </c>
      <c r="I25" s="493" t="s">
        <v>257</v>
      </c>
      <c r="J25" s="493" t="s">
        <v>257</v>
      </c>
      <c r="K25" s="495">
        <v>3</v>
      </c>
      <c r="L25" s="495">
        <v>3</v>
      </c>
      <c r="M25" s="495">
        <v>3</v>
      </c>
      <c r="N25" s="495">
        <v>3</v>
      </c>
      <c r="O25" s="461">
        <f t="shared" si="2"/>
        <v>0</v>
      </c>
      <c r="P25" s="355">
        <v>3</v>
      </c>
      <c r="Q25" s="355"/>
      <c r="R25" s="2">
        <f t="shared" si="3"/>
        <v>13050</v>
      </c>
      <c r="S25" s="515">
        <f t="shared" si="4"/>
        <v>-4451.9400000000023</v>
      </c>
      <c r="T25" s="483">
        <f t="shared" si="1"/>
        <v>0</v>
      </c>
      <c r="U25" s="487">
        <v>339</v>
      </c>
      <c r="V25" s="485">
        <f t="shared" si="5"/>
        <v>14</v>
      </c>
      <c r="W25" s="485">
        <f t="shared" si="6"/>
        <v>14</v>
      </c>
      <c r="X25" s="488">
        <f t="shared" si="7"/>
        <v>0</v>
      </c>
      <c r="Y25" s="485"/>
    </row>
    <row r="26" spans="1:25" ht="17.25" customHeight="1" x14ac:dyDescent="0.3">
      <c r="A26" s="3">
        <v>340</v>
      </c>
      <c r="B26" s="446">
        <v>0</v>
      </c>
      <c r="C26" s="447">
        <v>194915</v>
      </c>
      <c r="D26" s="477"/>
      <c r="E26" s="458">
        <v>194915</v>
      </c>
      <c r="F26" s="463"/>
      <c r="G26" s="498"/>
      <c r="H26" s="498"/>
      <c r="I26" s="498"/>
      <c r="J26" s="498"/>
      <c r="K26" s="495">
        <v>0</v>
      </c>
      <c r="L26" s="495">
        <v>0</v>
      </c>
      <c r="M26" s="495">
        <v>0</v>
      </c>
      <c r="N26" s="495">
        <v>0</v>
      </c>
      <c r="O26" s="461">
        <f t="shared" si="2"/>
        <v>-2</v>
      </c>
      <c r="P26" s="355">
        <f t="shared" ref="P26:P42" si="9">F26/$C$1</f>
        <v>0</v>
      </c>
      <c r="Q26" s="355">
        <v>2</v>
      </c>
      <c r="R26" s="2">
        <f t="shared" si="3"/>
        <v>0</v>
      </c>
      <c r="S26" s="515">
        <f t="shared" si="4"/>
        <v>0</v>
      </c>
      <c r="T26" s="483">
        <f t="shared" si="1"/>
        <v>0</v>
      </c>
      <c r="U26" s="487">
        <v>340</v>
      </c>
      <c r="V26" s="485">
        <f t="shared" si="5"/>
        <v>7</v>
      </c>
      <c r="W26" s="485">
        <f t="shared" si="6"/>
        <v>7</v>
      </c>
      <c r="X26" s="488">
        <f t="shared" si="7"/>
        <v>0</v>
      </c>
      <c r="Y26" s="485"/>
    </row>
    <row r="27" spans="1:25" ht="22.5" customHeight="1" x14ac:dyDescent="0.3">
      <c r="A27" s="3">
        <v>341</v>
      </c>
      <c r="B27" s="446">
        <v>56550</v>
      </c>
      <c r="C27" s="447">
        <v>278450</v>
      </c>
      <c r="D27" s="477">
        <v>39011.199999999997</v>
      </c>
      <c r="E27" s="458">
        <v>250605</v>
      </c>
      <c r="F27" s="461">
        <v>4350</v>
      </c>
      <c r="G27" s="493" t="s">
        <v>291</v>
      </c>
      <c r="H27" s="493" t="s">
        <v>327</v>
      </c>
      <c r="I27" s="493" t="s">
        <v>328</v>
      </c>
      <c r="J27" s="493" t="s">
        <v>328</v>
      </c>
      <c r="K27" s="495">
        <v>5</v>
      </c>
      <c r="L27" s="495">
        <v>3</v>
      </c>
      <c r="M27" s="495">
        <v>3</v>
      </c>
      <c r="N27" s="495">
        <v>3</v>
      </c>
      <c r="O27" s="461">
        <f t="shared" si="2"/>
        <v>0</v>
      </c>
      <c r="P27" s="355">
        <f t="shared" si="9"/>
        <v>3</v>
      </c>
      <c r="Q27" s="355">
        <v>2</v>
      </c>
      <c r="R27" s="2">
        <f t="shared" si="3"/>
        <v>15950</v>
      </c>
      <c r="S27" s="515">
        <f t="shared" si="4"/>
        <v>-1588.8000000000029</v>
      </c>
      <c r="T27" s="483">
        <f t="shared" si="1"/>
        <v>-27845</v>
      </c>
      <c r="U27" s="487">
        <v>341</v>
      </c>
      <c r="V27" s="485">
        <f t="shared" si="5"/>
        <v>10</v>
      </c>
      <c r="W27" s="485">
        <f t="shared" si="6"/>
        <v>9</v>
      </c>
      <c r="X27" s="488">
        <f t="shared" si="7"/>
        <v>-27845</v>
      </c>
      <c r="Y27" s="485"/>
    </row>
    <row r="28" spans="1:25" ht="17.25" customHeight="1" x14ac:dyDescent="0.3">
      <c r="A28" s="3">
        <v>342</v>
      </c>
      <c r="B28" s="446">
        <v>0</v>
      </c>
      <c r="C28" s="447">
        <v>167070</v>
      </c>
      <c r="D28" s="477"/>
      <c r="E28" s="458">
        <v>167070</v>
      </c>
      <c r="F28" s="463"/>
      <c r="G28" s="493" t="s">
        <v>315</v>
      </c>
      <c r="H28" s="493" t="s">
        <v>315</v>
      </c>
      <c r="I28" s="493" t="s">
        <v>315</v>
      </c>
      <c r="J28" s="493" t="s">
        <v>315</v>
      </c>
      <c r="K28" s="495">
        <v>1</v>
      </c>
      <c r="L28" s="495">
        <v>1</v>
      </c>
      <c r="M28" s="495">
        <v>1</v>
      </c>
      <c r="N28" s="495">
        <v>1</v>
      </c>
      <c r="O28" s="461">
        <f t="shared" si="2"/>
        <v>0</v>
      </c>
      <c r="P28" s="355">
        <f t="shared" si="9"/>
        <v>0</v>
      </c>
      <c r="Q28" s="355">
        <v>1</v>
      </c>
      <c r="R28" s="2">
        <f t="shared" si="3"/>
        <v>4350</v>
      </c>
      <c r="S28" s="515">
        <f t="shared" si="4"/>
        <v>4350</v>
      </c>
      <c r="T28" s="483">
        <f t="shared" si="1"/>
        <v>0</v>
      </c>
      <c r="U28" s="487">
        <v>342</v>
      </c>
      <c r="V28" s="485">
        <f t="shared" si="5"/>
        <v>6</v>
      </c>
      <c r="W28" s="485">
        <f t="shared" si="6"/>
        <v>6</v>
      </c>
      <c r="X28" s="488">
        <f t="shared" si="7"/>
        <v>0</v>
      </c>
      <c r="Y28" s="485"/>
    </row>
    <row r="29" spans="1:25" ht="17.25" customHeight="1" x14ac:dyDescent="0.3">
      <c r="A29" s="3">
        <v>343</v>
      </c>
      <c r="B29" s="446">
        <v>0</v>
      </c>
      <c r="C29" s="447">
        <v>361985</v>
      </c>
      <c r="D29" s="477"/>
      <c r="E29" s="458">
        <v>361985</v>
      </c>
      <c r="F29" s="463"/>
      <c r="G29" s="493" t="s">
        <v>238</v>
      </c>
      <c r="H29" s="493" t="s">
        <v>238</v>
      </c>
      <c r="I29" s="493" t="s">
        <v>238</v>
      </c>
      <c r="J29" s="493" t="s">
        <v>238</v>
      </c>
      <c r="K29" s="495">
        <v>0</v>
      </c>
      <c r="L29" s="495">
        <v>0</v>
      </c>
      <c r="M29" s="495">
        <v>0</v>
      </c>
      <c r="N29" s="495">
        <v>0</v>
      </c>
      <c r="O29" s="461">
        <f t="shared" si="2"/>
        <v>0</v>
      </c>
      <c r="P29" s="355">
        <f t="shared" si="9"/>
        <v>0</v>
      </c>
      <c r="Q29" s="355"/>
      <c r="R29" s="2">
        <f t="shared" si="3"/>
        <v>0</v>
      </c>
      <c r="S29" s="515">
        <f t="shared" si="4"/>
        <v>0</v>
      </c>
      <c r="T29" s="483">
        <f t="shared" si="1"/>
        <v>0</v>
      </c>
      <c r="U29" s="487">
        <v>343</v>
      </c>
      <c r="V29" s="485">
        <f t="shared" si="5"/>
        <v>13</v>
      </c>
      <c r="W29" s="485">
        <f t="shared" si="6"/>
        <v>13</v>
      </c>
      <c r="X29" s="488">
        <f t="shared" si="7"/>
        <v>0</v>
      </c>
      <c r="Y29" s="485"/>
    </row>
    <row r="30" spans="1:25" ht="17.25" customHeight="1" x14ac:dyDescent="0.3">
      <c r="A30" s="3">
        <v>344</v>
      </c>
      <c r="B30" s="446">
        <v>75400</v>
      </c>
      <c r="C30" s="447">
        <v>361985</v>
      </c>
      <c r="D30" s="477">
        <v>52113.3</v>
      </c>
      <c r="E30" s="458">
        <v>361985</v>
      </c>
      <c r="F30" s="461">
        <v>5800</v>
      </c>
      <c r="G30" s="493" t="s">
        <v>258</v>
      </c>
      <c r="H30" s="493" t="s">
        <v>259</v>
      </c>
      <c r="I30" s="493" t="s">
        <v>260</v>
      </c>
      <c r="J30" s="493" t="s">
        <v>259</v>
      </c>
      <c r="K30" s="495">
        <v>3</v>
      </c>
      <c r="L30" s="495">
        <v>3</v>
      </c>
      <c r="M30" s="495">
        <v>3</v>
      </c>
      <c r="N30" s="495">
        <v>3</v>
      </c>
      <c r="O30" s="461">
        <f t="shared" si="2"/>
        <v>-1</v>
      </c>
      <c r="P30" s="355">
        <f t="shared" si="9"/>
        <v>4</v>
      </c>
      <c r="Q30" s="355"/>
      <c r="R30" s="2">
        <f t="shared" si="3"/>
        <v>13050</v>
      </c>
      <c r="S30" s="515">
        <f t="shared" si="4"/>
        <v>-10236.699999999997</v>
      </c>
      <c r="T30" s="483">
        <f t="shared" si="1"/>
        <v>0</v>
      </c>
      <c r="U30" s="487">
        <v>344</v>
      </c>
      <c r="V30" s="485">
        <f t="shared" si="5"/>
        <v>13</v>
      </c>
      <c r="W30" s="485">
        <f t="shared" si="6"/>
        <v>13</v>
      </c>
      <c r="X30" s="488">
        <f t="shared" si="7"/>
        <v>0</v>
      </c>
      <c r="Y30" s="485"/>
    </row>
    <row r="31" spans="1:25" ht="17.25" customHeight="1" x14ac:dyDescent="0.3">
      <c r="A31" s="3">
        <v>345</v>
      </c>
      <c r="B31" s="446">
        <v>18850</v>
      </c>
      <c r="C31" s="447">
        <v>194915</v>
      </c>
      <c r="D31" s="477">
        <v>12892.9</v>
      </c>
      <c r="E31" s="458">
        <v>194915</v>
      </c>
      <c r="F31" s="461">
        <v>1450</v>
      </c>
      <c r="G31" s="493" t="s">
        <v>261</v>
      </c>
      <c r="H31" s="493" t="s">
        <v>261</v>
      </c>
      <c r="I31" s="493" t="s">
        <v>261</v>
      </c>
      <c r="J31" s="493" t="s">
        <v>261</v>
      </c>
      <c r="K31" s="495">
        <v>1</v>
      </c>
      <c r="L31" s="495">
        <v>1</v>
      </c>
      <c r="M31" s="495">
        <v>1</v>
      </c>
      <c r="N31" s="495">
        <v>1</v>
      </c>
      <c r="O31" s="461">
        <f t="shared" si="2"/>
        <v>0</v>
      </c>
      <c r="P31" s="355">
        <f t="shared" si="9"/>
        <v>1</v>
      </c>
      <c r="Q31" s="355"/>
      <c r="R31" s="2">
        <f t="shared" si="3"/>
        <v>4350</v>
      </c>
      <c r="S31" s="515">
        <f t="shared" si="4"/>
        <v>-1607.0999999999985</v>
      </c>
      <c r="T31" s="483">
        <f t="shared" si="1"/>
        <v>0</v>
      </c>
      <c r="U31" s="487">
        <v>345</v>
      </c>
      <c r="V31" s="485">
        <f t="shared" si="5"/>
        <v>7</v>
      </c>
      <c r="W31" s="485">
        <f t="shared" si="6"/>
        <v>7</v>
      </c>
      <c r="X31" s="488">
        <f t="shared" si="7"/>
        <v>0</v>
      </c>
      <c r="Y31" s="485"/>
    </row>
    <row r="32" spans="1:25" ht="17.25" customHeight="1" x14ac:dyDescent="0.3">
      <c r="A32" s="3">
        <v>346</v>
      </c>
      <c r="B32" s="446">
        <v>18850</v>
      </c>
      <c r="C32" s="447">
        <v>334140</v>
      </c>
      <c r="D32" s="477">
        <v>11600</v>
      </c>
      <c r="E32" s="458">
        <v>334140</v>
      </c>
      <c r="F32" s="461">
        <v>1450</v>
      </c>
      <c r="G32" s="493" t="s">
        <v>238</v>
      </c>
      <c r="H32" s="493" t="s">
        <v>238</v>
      </c>
      <c r="I32" s="493" t="s">
        <v>238</v>
      </c>
      <c r="J32" s="493" t="s">
        <v>238</v>
      </c>
      <c r="K32" s="495">
        <v>0</v>
      </c>
      <c r="L32" s="495">
        <v>0</v>
      </c>
      <c r="M32" s="495">
        <v>0</v>
      </c>
      <c r="N32" s="495">
        <v>0</v>
      </c>
      <c r="O32" s="461">
        <f t="shared" si="2"/>
        <v>-1</v>
      </c>
      <c r="P32" s="355">
        <f t="shared" si="9"/>
        <v>1</v>
      </c>
      <c r="Q32" s="355"/>
      <c r="R32" s="2">
        <f t="shared" si="3"/>
        <v>0</v>
      </c>
      <c r="S32" s="515">
        <f t="shared" si="4"/>
        <v>-7250</v>
      </c>
      <c r="T32" s="483">
        <f t="shared" si="1"/>
        <v>0</v>
      </c>
      <c r="U32" s="487">
        <v>346</v>
      </c>
      <c r="V32" s="485">
        <f t="shared" si="5"/>
        <v>12</v>
      </c>
      <c r="W32" s="485">
        <f t="shared" si="6"/>
        <v>12</v>
      </c>
      <c r="X32" s="488">
        <f t="shared" si="7"/>
        <v>0</v>
      </c>
      <c r="Y32" s="485"/>
    </row>
    <row r="33" spans="1:25" ht="17.25" customHeight="1" x14ac:dyDescent="0.3">
      <c r="A33" s="3">
        <v>347</v>
      </c>
      <c r="B33" s="446">
        <v>55690</v>
      </c>
      <c r="C33" s="447">
        <v>334140</v>
      </c>
      <c r="D33" s="477"/>
      <c r="E33" s="458">
        <v>334140</v>
      </c>
      <c r="F33" s="463"/>
      <c r="G33" s="493" t="s">
        <v>238</v>
      </c>
      <c r="H33" s="493" t="s">
        <v>238</v>
      </c>
      <c r="I33" s="493" t="s">
        <v>238</v>
      </c>
      <c r="J33" s="493" t="s">
        <v>238</v>
      </c>
      <c r="K33" s="495">
        <v>0</v>
      </c>
      <c r="L33" s="495">
        <v>0</v>
      </c>
      <c r="M33" s="495">
        <v>0</v>
      </c>
      <c r="N33" s="495">
        <v>0</v>
      </c>
      <c r="O33" s="461">
        <f t="shared" si="2"/>
        <v>0</v>
      </c>
      <c r="P33" s="355">
        <f t="shared" si="9"/>
        <v>0</v>
      </c>
      <c r="Q33" s="355"/>
      <c r="R33" s="2">
        <f t="shared" si="3"/>
        <v>0</v>
      </c>
      <c r="S33" s="515">
        <f t="shared" si="4"/>
        <v>-55690</v>
      </c>
      <c r="T33" s="483">
        <f t="shared" si="1"/>
        <v>0</v>
      </c>
      <c r="U33" s="487">
        <v>347</v>
      </c>
      <c r="V33" s="485">
        <f t="shared" si="5"/>
        <v>12</v>
      </c>
      <c r="W33" s="485">
        <f t="shared" si="6"/>
        <v>12</v>
      </c>
      <c r="X33" s="488">
        <f t="shared" si="7"/>
        <v>0</v>
      </c>
      <c r="Y33" s="485"/>
    </row>
    <row r="34" spans="1:25" ht="17.25" customHeight="1" x14ac:dyDescent="0.3">
      <c r="A34" s="3">
        <v>348</v>
      </c>
      <c r="B34" s="446">
        <v>31900</v>
      </c>
      <c r="C34" s="447">
        <v>194915</v>
      </c>
      <c r="D34" s="477">
        <v>28873.7</v>
      </c>
      <c r="E34" s="458">
        <v>194915</v>
      </c>
      <c r="F34" s="461">
        <v>2900</v>
      </c>
      <c r="G34" s="493" t="s">
        <v>262</v>
      </c>
      <c r="H34" s="493" t="s">
        <v>262</v>
      </c>
      <c r="I34" s="493" t="s">
        <v>262</v>
      </c>
      <c r="J34" s="493" t="s">
        <v>262</v>
      </c>
      <c r="K34" s="495">
        <v>2</v>
      </c>
      <c r="L34" s="495">
        <v>2</v>
      </c>
      <c r="M34" s="495">
        <v>2</v>
      </c>
      <c r="N34" s="495">
        <v>2</v>
      </c>
      <c r="O34" s="461">
        <f t="shared" si="2"/>
        <v>0</v>
      </c>
      <c r="P34" s="355">
        <f t="shared" si="9"/>
        <v>2</v>
      </c>
      <c r="Q34" s="355"/>
      <c r="R34" s="2">
        <f t="shared" si="3"/>
        <v>8700</v>
      </c>
      <c r="S34" s="515">
        <f t="shared" si="4"/>
        <v>5673.6999999999971</v>
      </c>
      <c r="T34" s="483">
        <f t="shared" si="1"/>
        <v>0</v>
      </c>
      <c r="U34" s="487">
        <v>348</v>
      </c>
      <c r="V34" s="485">
        <f t="shared" si="5"/>
        <v>7</v>
      </c>
      <c r="W34" s="485">
        <f t="shared" si="6"/>
        <v>7</v>
      </c>
      <c r="X34" s="488">
        <f t="shared" si="7"/>
        <v>0</v>
      </c>
      <c r="Y34" s="485"/>
    </row>
    <row r="35" spans="1:25" ht="17.25" customHeight="1" x14ac:dyDescent="0.3">
      <c r="A35" s="3">
        <v>350</v>
      </c>
      <c r="B35" s="446">
        <v>18850</v>
      </c>
      <c r="C35" s="447">
        <v>167070</v>
      </c>
      <c r="D35" s="477">
        <v>13005</v>
      </c>
      <c r="E35" s="458">
        <v>167070</v>
      </c>
      <c r="F35" s="461">
        <v>1450</v>
      </c>
      <c r="G35" s="493" t="s">
        <v>263</v>
      </c>
      <c r="H35" s="493" t="s">
        <v>263</v>
      </c>
      <c r="I35" s="493" t="s">
        <v>263</v>
      </c>
      <c r="J35" s="493" t="s">
        <v>263</v>
      </c>
      <c r="K35" s="495">
        <v>1</v>
      </c>
      <c r="L35" s="495">
        <v>1</v>
      </c>
      <c r="M35" s="495">
        <v>1</v>
      </c>
      <c r="N35" s="495">
        <v>1</v>
      </c>
      <c r="O35" s="461">
        <f t="shared" si="2"/>
        <v>0</v>
      </c>
      <c r="P35" s="355">
        <f t="shared" si="9"/>
        <v>1</v>
      </c>
      <c r="Q35" s="355"/>
      <c r="R35" s="2">
        <f t="shared" si="3"/>
        <v>4350</v>
      </c>
      <c r="S35" s="515">
        <f t="shared" si="4"/>
        <v>-1495</v>
      </c>
      <c r="T35" s="483">
        <f t="shared" ref="T35:T66" si="10">E35-C35</f>
        <v>0</v>
      </c>
      <c r="U35" s="487">
        <v>350</v>
      </c>
      <c r="V35" s="485">
        <f t="shared" si="5"/>
        <v>6</v>
      </c>
      <c r="W35" s="485">
        <f t="shared" si="6"/>
        <v>6</v>
      </c>
      <c r="X35" s="488">
        <f t="shared" si="7"/>
        <v>0</v>
      </c>
      <c r="Y35" s="485"/>
    </row>
    <row r="36" spans="1:25" ht="17.25" customHeight="1" x14ac:dyDescent="0.3">
      <c r="A36" s="3">
        <v>458</v>
      </c>
      <c r="B36" s="446">
        <v>37700</v>
      </c>
      <c r="C36" s="447">
        <v>306295</v>
      </c>
      <c r="D36" s="477">
        <v>26050</v>
      </c>
      <c r="E36" s="458">
        <v>306295</v>
      </c>
      <c r="F36" s="461">
        <v>2900</v>
      </c>
      <c r="G36" s="493" t="s">
        <v>264</v>
      </c>
      <c r="H36" s="493" t="s">
        <v>264</v>
      </c>
      <c r="I36" s="493" t="s">
        <v>264</v>
      </c>
      <c r="J36" s="493" t="s">
        <v>264</v>
      </c>
      <c r="K36" s="495">
        <v>1</v>
      </c>
      <c r="L36" s="495">
        <v>1</v>
      </c>
      <c r="M36" s="495">
        <v>1</v>
      </c>
      <c r="N36" s="495">
        <v>1</v>
      </c>
      <c r="O36" s="461">
        <f t="shared" si="2"/>
        <v>-1</v>
      </c>
      <c r="P36" s="355">
        <f t="shared" si="9"/>
        <v>2</v>
      </c>
      <c r="Q36" s="355"/>
      <c r="R36" s="2">
        <f t="shared" si="3"/>
        <v>4350</v>
      </c>
      <c r="S36" s="515">
        <f t="shared" si="4"/>
        <v>-7300</v>
      </c>
      <c r="T36" s="483">
        <f t="shared" si="10"/>
        <v>0</v>
      </c>
      <c r="U36" s="487">
        <v>458</v>
      </c>
      <c r="V36" s="485">
        <f t="shared" si="5"/>
        <v>11</v>
      </c>
      <c r="W36" s="485">
        <f t="shared" si="6"/>
        <v>11</v>
      </c>
      <c r="X36" s="488">
        <f t="shared" si="7"/>
        <v>0</v>
      </c>
      <c r="Y36" s="485"/>
    </row>
    <row r="37" spans="1:25" ht="17.25" customHeight="1" x14ac:dyDescent="0.3">
      <c r="A37" s="3">
        <v>497</v>
      </c>
      <c r="B37" s="446">
        <v>37700</v>
      </c>
      <c r="C37" s="447">
        <v>278450</v>
      </c>
      <c r="D37" s="477">
        <v>26022.5</v>
      </c>
      <c r="E37" s="458">
        <v>278450</v>
      </c>
      <c r="F37" s="461">
        <v>2900</v>
      </c>
      <c r="G37" s="493" t="s">
        <v>265</v>
      </c>
      <c r="H37" s="493" t="s">
        <v>266</v>
      </c>
      <c r="I37" s="493" t="s">
        <v>266</v>
      </c>
      <c r="J37" s="493" t="s">
        <v>266</v>
      </c>
      <c r="K37" s="495">
        <v>2</v>
      </c>
      <c r="L37" s="495">
        <v>2</v>
      </c>
      <c r="M37" s="495">
        <v>2</v>
      </c>
      <c r="N37" s="495">
        <v>2</v>
      </c>
      <c r="O37" s="461">
        <f t="shared" si="2"/>
        <v>0</v>
      </c>
      <c r="P37" s="355">
        <f t="shared" si="9"/>
        <v>2</v>
      </c>
      <c r="Q37" s="355"/>
      <c r="R37" s="2">
        <f t="shared" si="3"/>
        <v>8700</v>
      </c>
      <c r="S37" s="515">
        <f t="shared" si="4"/>
        <v>-2977.5</v>
      </c>
      <c r="T37" s="483">
        <f t="shared" si="10"/>
        <v>0</v>
      </c>
      <c r="U37" s="487">
        <v>497</v>
      </c>
      <c r="V37" s="485">
        <f t="shared" si="5"/>
        <v>10</v>
      </c>
      <c r="W37" s="485">
        <f t="shared" si="6"/>
        <v>10</v>
      </c>
      <c r="X37" s="488">
        <f t="shared" si="7"/>
        <v>0</v>
      </c>
      <c r="Y37" s="485"/>
    </row>
    <row r="38" spans="1:25" s="513" customFormat="1" ht="17.25" customHeight="1" x14ac:dyDescent="0.3">
      <c r="A38" s="499">
        <v>498</v>
      </c>
      <c r="B38" s="500">
        <v>14500</v>
      </c>
      <c r="C38" s="501">
        <v>361985</v>
      </c>
      <c r="D38" s="502">
        <v>8690.83</v>
      </c>
      <c r="E38" s="503">
        <v>361985</v>
      </c>
      <c r="F38" s="504">
        <v>1450</v>
      </c>
      <c r="G38" s="505" t="s">
        <v>318</v>
      </c>
      <c r="H38" s="505" t="s">
        <v>318</v>
      </c>
      <c r="I38" s="505" t="s">
        <v>318</v>
      </c>
      <c r="J38" s="505" t="s">
        <v>318</v>
      </c>
      <c r="K38" s="506">
        <v>1</v>
      </c>
      <c r="L38" s="506">
        <v>1</v>
      </c>
      <c r="M38" s="506">
        <v>1</v>
      </c>
      <c r="N38" s="506">
        <v>1</v>
      </c>
      <c r="O38" s="507">
        <f t="shared" si="2"/>
        <v>-1</v>
      </c>
      <c r="P38" s="508">
        <f t="shared" si="9"/>
        <v>1</v>
      </c>
      <c r="Q38" s="508">
        <v>1</v>
      </c>
      <c r="R38" s="2">
        <f t="shared" si="3"/>
        <v>4350</v>
      </c>
      <c r="S38" s="515">
        <f t="shared" si="4"/>
        <v>-1459.17</v>
      </c>
      <c r="T38" s="509">
        <f t="shared" si="10"/>
        <v>0</v>
      </c>
      <c r="U38" s="510">
        <v>498</v>
      </c>
      <c r="V38" s="511">
        <f t="shared" si="5"/>
        <v>13</v>
      </c>
      <c r="W38" s="511">
        <f t="shared" si="6"/>
        <v>13</v>
      </c>
      <c r="X38" s="512">
        <f t="shared" si="7"/>
        <v>0</v>
      </c>
      <c r="Y38" s="511"/>
    </row>
    <row r="39" spans="1:25" ht="17.25" customHeight="1" x14ac:dyDescent="0.3">
      <c r="A39" s="3">
        <v>512</v>
      </c>
      <c r="B39" s="446">
        <v>18850</v>
      </c>
      <c r="C39" s="447">
        <v>278450</v>
      </c>
      <c r="D39" s="477">
        <v>13032.5</v>
      </c>
      <c r="E39" s="458">
        <v>278450</v>
      </c>
      <c r="F39" s="461">
        <v>1450</v>
      </c>
      <c r="G39" s="493" t="s">
        <v>267</v>
      </c>
      <c r="H39" s="493" t="s">
        <v>267</v>
      </c>
      <c r="I39" s="493" t="s">
        <v>267</v>
      </c>
      <c r="J39" s="493" t="s">
        <v>267</v>
      </c>
      <c r="K39" s="495">
        <v>1</v>
      </c>
      <c r="L39" s="495">
        <v>1</v>
      </c>
      <c r="M39" s="495">
        <v>1</v>
      </c>
      <c r="N39" s="495">
        <v>1</v>
      </c>
      <c r="O39" s="461">
        <f t="shared" si="2"/>
        <v>0</v>
      </c>
      <c r="P39" s="355">
        <f t="shared" si="9"/>
        <v>1</v>
      </c>
      <c r="Q39" s="355"/>
      <c r="R39" s="2">
        <f t="shared" si="3"/>
        <v>4350</v>
      </c>
      <c r="S39" s="515">
        <f t="shared" si="4"/>
        <v>-1467.5</v>
      </c>
      <c r="T39" s="483">
        <f t="shared" si="10"/>
        <v>0</v>
      </c>
      <c r="U39" s="487">
        <v>512</v>
      </c>
      <c r="V39" s="485">
        <f t="shared" si="5"/>
        <v>10</v>
      </c>
      <c r="W39" s="485">
        <f t="shared" si="6"/>
        <v>10</v>
      </c>
      <c r="X39" s="488">
        <f t="shared" si="7"/>
        <v>0</v>
      </c>
      <c r="Y39" s="485"/>
    </row>
    <row r="40" spans="1:25" ht="17.25" customHeight="1" x14ac:dyDescent="0.3">
      <c r="A40" s="3">
        <v>513</v>
      </c>
      <c r="B40" s="446">
        <v>108750</v>
      </c>
      <c r="C40" s="447">
        <v>417675</v>
      </c>
      <c r="D40" s="477">
        <v>86875.3</v>
      </c>
      <c r="E40" s="458">
        <v>417675</v>
      </c>
      <c r="F40" s="463">
        <v>8700</v>
      </c>
      <c r="G40" s="493" t="s">
        <v>268</v>
      </c>
      <c r="H40" s="493" t="s">
        <v>269</v>
      </c>
      <c r="I40" s="493" t="s">
        <v>269</v>
      </c>
      <c r="J40" s="493" t="s">
        <v>269</v>
      </c>
      <c r="K40" s="495">
        <v>4</v>
      </c>
      <c r="L40" s="495">
        <v>3</v>
      </c>
      <c r="M40" s="495">
        <v>3</v>
      </c>
      <c r="N40" s="495">
        <v>3</v>
      </c>
      <c r="O40" s="461">
        <f t="shared" si="2"/>
        <v>-2</v>
      </c>
      <c r="P40" s="355">
        <f t="shared" si="9"/>
        <v>6</v>
      </c>
      <c r="Q40" s="355"/>
      <c r="R40" s="2">
        <f t="shared" si="3"/>
        <v>14500</v>
      </c>
      <c r="S40" s="515">
        <f t="shared" si="4"/>
        <v>-7374.6999999999971</v>
      </c>
      <c r="T40" s="483">
        <f t="shared" si="10"/>
        <v>0</v>
      </c>
      <c r="U40" s="487">
        <v>513</v>
      </c>
      <c r="V40" s="485">
        <f t="shared" si="5"/>
        <v>15</v>
      </c>
      <c r="W40" s="485">
        <f t="shared" si="6"/>
        <v>15</v>
      </c>
      <c r="X40" s="488">
        <f t="shared" si="7"/>
        <v>0</v>
      </c>
      <c r="Y40" s="485"/>
    </row>
    <row r="41" spans="1:25" ht="17.25" customHeight="1" x14ac:dyDescent="0.3">
      <c r="A41" s="3">
        <v>516</v>
      </c>
      <c r="B41" s="446">
        <v>73950</v>
      </c>
      <c r="C41" s="447">
        <v>194915</v>
      </c>
      <c r="D41" s="477">
        <v>52108.3</v>
      </c>
      <c r="E41" s="458">
        <v>194915</v>
      </c>
      <c r="F41" s="461">
        <v>5800</v>
      </c>
      <c r="G41" s="493" t="s">
        <v>270</v>
      </c>
      <c r="H41" s="493" t="s">
        <v>270</v>
      </c>
      <c r="I41" s="493" t="s">
        <v>270</v>
      </c>
      <c r="J41" s="493" t="s">
        <v>271</v>
      </c>
      <c r="K41" s="495">
        <v>4</v>
      </c>
      <c r="L41" s="495">
        <v>4</v>
      </c>
      <c r="M41" s="495">
        <v>4</v>
      </c>
      <c r="N41" s="495">
        <v>3</v>
      </c>
      <c r="O41" s="461">
        <f t="shared" si="2"/>
        <v>0</v>
      </c>
      <c r="P41" s="355">
        <f t="shared" si="9"/>
        <v>4</v>
      </c>
      <c r="Q41" s="355"/>
      <c r="R41" s="2">
        <f t="shared" si="3"/>
        <v>17400</v>
      </c>
      <c r="S41" s="515">
        <f t="shared" si="4"/>
        <v>-4441.6999999999971</v>
      </c>
      <c r="T41" s="483">
        <f t="shared" si="10"/>
        <v>0</v>
      </c>
      <c r="U41" s="487">
        <v>516</v>
      </c>
      <c r="V41" s="485">
        <f t="shared" si="5"/>
        <v>7</v>
      </c>
      <c r="W41" s="485">
        <f t="shared" si="6"/>
        <v>7</v>
      </c>
      <c r="X41" s="488">
        <f t="shared" si="7"/>
        <v>0</v>
      </c>
      <c r="Y41" s="485"/>
    </row>
    <row r="42" spans="1:25" ht="17.25" customHeight="1" x14ac:dyDescent="0.3">
      <c r="A42" s="3">
        <v>527</v>
      </c>
      <c r="B42" s="446">
        <v>0</v>
      </c>
      <c r="C42" s="447">
        <v>222760</v>
      </c>
      <c r="D42" s="477"/>
      <c r="E42" s="458">
        <v>222760</v>
      </c>
      <c r="F42" s="463"/>
      <c r="G42" s="493" t="s">
        <v>305</v>
      </c>
      <c r="H42" s="493" t="s">
        <v>305</v>
      </c>
      <c r="I42" s="493" t="s">
        <v>305</v>
      </c>
      <c r="J42" s="493" t="s">
        <v>305</v>
      </c>
      <c r="K42" s="495">
        <v>1</v>
      </c>
      <c r="L42" s="495">
        <v>1</v>
      </c>
      <c r="M42" s="495">
        <v>1</v>
      </c>
      <c r="N42" s="495">
        <v>1</v>
      </c>
      <c r="O42" s="461">
        <f t="shared" si="2"/>
        <v>0</v>
      </c>
      <c r="P42" s="355">
        <f t="shared" si="9"/>
        <v>0</v>
      </c>
      <c r="Q42" s="355">
        <v>1</v>
      </c>
      <c r="R42" s="2">
        <f t="shared" si="3"/>
        <v>4350</v>
      </c>
      <c r="S42" s="515">
        <f t="shared" si="4"/>
        <v>4350</v>
      </c>
      <c r="T42" s="483">
        <f t="shared" si="10"/>
        <v>0</v>
      </c>
      <c r="U42" s="487">
        <v>527</v>
      </c>
      <c r="V42" s="485">
        <f t="shared" si="5"/>
        <v>8</v>
      </c>
      <c r="W42" s="485">
        <f t="shared" si="6"/>
        <v>8</v>
      </c>
      <c r="X42" s="488">
        <f t="shared" si="7"/>
        <v>0</v>
      </c>
      <c r="Y42" s="485"/>
    </row>
    <row r="43" spans="1:25" s="513" customFormat="1" ht="17.25" customHeight="1" x14ac:dyDescent="0.3">
      <c r="A43" s="499">
        <v>528</v>
      </c>
      <c r="B43" s="500">
        <v>19995</v>
      </c>
      <c r="C43" s="501">
        <v>501210</v>
      </c>
      <c r="D43" s="502">
        <v>11600</v>
      </c>
      <c r="E43" s="503">
        <v>501210</v>
      </c>
      <c r="F43" s="504">
        <v>1449.5</v>
      </c>
      <c r="G43" s="505" t="s">
        <v>311</v>
      </c>
      <c r="H43" s="505" t="s">
        <v>311</v>
      </c>
      <c r="I43" s="505" t="s">
        <v>311</v>
      </c>
      <c r="J43" s="505" t="s">
        <v>311</v>
      </c>
      <c r="K43" s="506">
        <v>2</v>
      </c>
      <c r="L43" s="506">
        <v>2</v>
      </c>
      <c r="M43" s="506">
        <v>2</v>
      </c>
      <c r="N43" s="506">
        <v>2</v>
      </c>
      <c r="O43" s="507">
        <f t="shared" si="2"/>
        <v>-1</v>
      </c>
      <c r="P43" s="508">
        <v>1</v>
      </c>
      <c r="Q43" s="508">
        <v>2</v>
      </c>
      <c r="R43" s="2">
        <f t="shared" si="3"/>
        <v>8700</v>
      </c>
      <c r="S43" s="515">
        <f t="shared" si="4"/>
        <v>305</v>
      </c>
      <c r="T43" s="509">
        <f t="shared" si="10"/>
        <v>0</v>
      </c>
      <c r="U43" s="510">
        <v>528</v>
      </c>
      <c r="V43" s="511">
        <f t="shared" si="5"/>
        <v>18</v>
      </c>
      <c r="W43" s="511">
        <f t="shared" si="6"/>
        <v>18</v>
      </c>
      <c r="X43" s="512">
        <f t="shared" si="7"/>
        <v>0</v>
      </c>
      <c r="Y43" s="511"/>
    </row>
    <row r="44" spans="1:25" ht="17.25" customHeight="1" x14ac:dyDescent="0.3">
      <c r="A44" s="3">
        <v>557</v>
      </c>
      <c r="B44" s="446">
        <v>26100</v>
      </c>
      <c r="C44" s="447">
        <v>250605</v>
      </c>
      <c r="D44" s="477">
        <v>26020.400000000001</v>
      </c>
      <c r="E44" s="458">
        <v>250605</v>
      </c>
      <c r="F44" s="461">
        <v>2900</v>
      </c>
      <c r="G44" s="493" t="s">
        <v>272</v>
      </c>
      <c r="H44" s="493" t="s">
        <v>273</v>
      </c>
      <c r="I44" s="493" t="s">
        <v>273</v>
      </c>
      <c r="J44" s="493" t="s">
        <v>273</v>
      </c>
      <c r="K44" s="495">
        <v>1</v>
      </c>
      <c r="L44" s="495">
        <v>1</v>
      </c>
      <c r="M44" s="495">
        <v>1</v>
      </c>
      <c r="N44" s="495">
        <v>1</v>
      </c>
      <c r="O44" s="461">
        <f t="shared" si="2"/>
        <v>-1</v>
      </c>
      <c r="P44" s="355">
        <f t="shared" ref="P44:P51" si="11">F44/$C$1</f>
        <v>2</v>
      </c>
      <c r="Q44" s="355"/>
      <c r="R44" s="2">
        <f t="shared" si="3"/>
        <v>4350</v>
      </c>
      <c r="S44" s="515">
        <f t="shared" si="4"/>
        <v>4270.4000000000015</v>
      </c>
      <c r="T44" s="483">
        <f t="shared" si="10"/>
        <v>0</v>
      </c>
      <c r="U44" s="487">
        <v>557</v>
      </c>
      <c r="V44" s="485">
        <f t="shared" si="5"/>
        <v>9</v>
      </c>
      <c r="W44" s="485">
        <f t="shared" si="6"/>
        <v>9</v>
      </c>
      <c r="X44" s="488">
        <f t="shared" si="7"/>
        <v>0</v>
      </c>
      <c r="Y44" s="485"/>
    </row>
    <row r="45" spans="1:25" ht="17.25" customHeight="1" x14ac:dyDescent="0.3">
      <c r="A45" s="3">
        <v>569</v>
      </c>
      <c r="B45" s="446">
        <v>44950</v>
      </c>
      <c r="C45" s="447">
        <v>389830</v>
      </c>
      <c r="D45" s="477">
        <v>27406.2</v>
      </c>
      <c r="E45" s="458">
        <v>389830</v>
      </c>
      <c r="F45" s="463">
        <v>2900</v>
      </c>
      <c r="G45" s="493" t="s">
        <v>316</v>
      </c>
      <c r="H45" s="493" t="s">
        <v>316</v>
      </c>
      <c r="I45" s="493" t="s">
        <v>316</v>
      </c>
      <c r="J45" s="493" t="s">
        <v>316</v>
      </c>
      <c r="K45" s="495">
        <v>1</v>
      </c>
      <c r="L45" s="495">
        <v>1</v>
      </c>
      <c r="M45" s="495">
        <v>1</v>
      </c>
      <c r="N45" s="495">
        <v>1</v>
      </c>
      <c r="O45" s="461">
        <f t="shared" si="2"/>
        <v>-2</v>
      </c>
      <c r="P45" s="355">
        <f t="shared" si="11"/>
        <v>2</v>
      </c>
      <c r="Q45" s="355">
        <v>1</v>
      </c>
      <c r="R45" s="2">
        <f t="shared" si="3"/>
        <v>4350</v>
      </c>
      <c r="S45" s="515">
        <f t="shared" si="4"/>
        <v>-13193.8</v>
      </c>
      <c r="T45" s="483">
        <f t="shared" si="10"/>
        <v>0</v>
      </c>
      <c r="U45" s="487">
        <v>569</v>
      </c>
      <c r="V45" s="485">
        <f t="shared" si="5"/>
        <v>14</v>
      </c>
      <c r="W45" s="485">
        <f t="shared" si="6"/>
        <v>14</v>
      </c>
      <c r="X45" s="488">
        <f t="shared" si="7"/>
        <v>0</v>
      </c>
      <c r="Y45" s="485"/>
    </row>
    <row r="46" spans="1:25" ht="17.25" customHeight="1" x14ac:dyDescent="0.3">
      <c r="A46" s="3">
        <v>570</v>
      </c>
      <c r="B46" s="446">
        <v>44950</v>
      </c>
      <c r="C46" s="447">
        <v>278450</v>
      </c>
      <c r="D46" s="477">
        <v>39150</v>
      </c>
      <c r="E46" s="458">
        <v>278450</v>
      </c>
      <c r="F46" s="461">
        <v>4350</v>
      </c>
      <c r="G46" s="493" t="s">
        <v>238</v>
      </c>
      <c r="H46" s="493" t="s">
        <v>238</v>
      </c>
      <c r="I46" s="493" t="s">
        <v>238</v>
      </c>
      <c r="J46" s="493" t="s">
        <v>238</v>
      </c>
      <c r="K46" s="495">
        <v>0</v>
      </c>
      <c r="L46" s="495">
        <v>0</v>
      </c>
      <c r="M46" s="495">
        <v>0</v>
      </c>
      <c r="N46" s="495">
        <v>0</v>
      </c>
      <c r="O46" s="461">
        <f t="shared" si="2"/>
        <v>-3</v>
      </c>
      <c r="P46" s="355">
        <f t="shared" si="11"/>
        <v>3</v>
      </c>
      <c r="Q46" s="355"/>
      <c r="R46" s="2">
        <f t="shared" si="3"/>
        <v>0</v>
      </c>
      <c r="S46" s="515">
        <f t="shared" si="4"/>
        <v>-5800</v>
      </c>
      <c r="T46" s="483">
        <f t="shared" si="10"/>
        <v>0</v>
      </c>
      <c r="U46" s="487">
        <v>570</v>
      </c>
      <c r="V46" s="485">
        <f t="shared" si="5"/>
        <v>10</v>
      </c>
      <c r="W46" s="485">
        <f t="shared" si="6"/>
        <v>10</v>
      </c>
      <c r="X46" s="488">
        <f t="shared" si="7"/>
        <v>0</v>
      </c>
      <c r="Y46" s="485"/>
    </row>
    <row r="47" spans="1:25" ht="91.5" customHeight="1" x14ac:dyDescent="0.3">
      <c r="A47" s="3">
        <v>571</v>
      </c>
      <c r="B47" s="446">
        <v>0</v>
      </c>
      <c r="C47" s="447">
        <v>389830</v>
      </c>
      <c r="D47" s="477"/>
      <c r="E47" s="458">
        <v>389830</v>
      </c>
      <c r="F47" s="463"/>
      <c r="G47" s="493" t="s">
        <v>297</v>
      </c>
      <c r="H47" s="493" t="s">
        <v>297</v>
      </c>
      <c r="I47" s="493" t="s">
        <v>297</v>
      </c>
      <c r="J47" s="493" t="s">
        <v>297</v>
      </c>
      <c r="K47" s="495">
        <v>1</v>
      </c>
      <c r="L47" s="495">
        <v>1</v>
      </c>
      <c r="M47" s="495">
        <v>1</v>
      </c>
      <c r="N47" s="495">
        <v>1</v>
      </c>
      <c r="O47" s="461">
        <f t="shared" si="2"/>
        <v>0</v>
      </c>
      <c r="P47" s="355">
        <f t="shared" si="11"/>
        <v>0</v>
      </c>
      <c r="Q47" s="355">
        <v>1</v>
      </c>
      <c r="R47" s="2">
        <f t="shared" si="3"/>
        <v>4350</v>
      </c>
      <c r="S47" s="515">
        <f t="shared" si="4"/>
        <v>4350</v>
      </c>
      <c r="T47" s="483">
        <f t="shared" si="10"/>
        <v>0</v>
      </c>
      <c r="U47" s="487">
        <v>571</v>
      </c>
      <c r="V47" s="485">
        <f t="shared" si="5"/>
        <v>14</v>
      </c>
      <c r="W47" s="485">
        <f t="shared" si="6"/>
        <v>14</v>
      </c>
      <c r="X47" s="488">
        <f t="shared" si="7"/>
        <v>0</v>
      </c>
      <c r="Y47" s="485"/>
    </row>
    <row r="48" spans="1:25" ht="17.25" customHeight="1" x14ac:dyDescent="0.3">
      <c r="A48" s="3">
        <v>572</v>
      </c>
      <c r="B48" s="446">
        <v>56550</v>
      </c>
      <c r="C48" s="447">
        <v>250605</v>
      </c>
      <c r="D48" s="477">
        <v>39043.300000000003</v>
      </c>
      <c r="E48" s="458">
        <v>250605</v>
      </c>
      <c r="F48" s="461">
        <v>4350</v>
      </c>
      <c r="G48" s="493" t="s">
        <v>296</v>
      </c>
      <c r="H48" s="493" t="s">
        <v>296</v>
      </c>
      <c r="I48" s="493" t="s">
        <v>296</v>
      </c>
      <c r="J48" s="493" t="s">
        <v>296</v>
      </c>
      <c r="K48" s="495">
        <v>4</v>
      </c>
      <c r="L48" s="495">
        <v>4</v>
      </c>
      <c r="M48" s="495">
        <v>4</v>
      </c>
      <c r="N48" s="495">
        <v>4</v>
      </c>
      <c r="O48" s="461">
        <f t="shared" si="2"/>
        <v>0</v>
      </c>
      <c r="P48" s="355">
        <f t="shared" si="11"/>
        <v>3</v>
      </c>
      <c r="Q48" s="355">
        <v>1</v>
      </c>
      <c r="R48" s="2">
        <f t="shared" si="3"/>
        <v>17400</v>
      </c>
      <c r="S48" s="515">
        <f t="shared" si="4"/>
        <v>-106.69999999999709</v>
      </c>
      <c r="T48" s="483">
        <f t="shared" si="10"/>
        <v>0</v>
      </c>
      <c r="U48" s="487">
        <v>572</v>
      </c>
      <c r="V48" s="485">
        <f t="shared" si="5"/>
        <v>9</v>
      </c>
      <c r="W48" s="485">
        <f t="shared" si="6"/>
        <v>9</v>
      </c>
      <c r="X48" s="488">
        <f t="shared" si="7"/>
        <v>0</v>
      </c>
      <c r="Y48" s="485"/>
    </row>
    <row r="49" spans="1:25" ht="18" customHeight="1" x14ac:dyDescent="0.3">
      <c r="A49" s="3">
        <v>574</v>
      </c>
      <c r="B49" s="446">
        <v>37700</v>
      </c>
      <c r="C49" s="447">
        <v>361985</v>
      </c>
      <c r="D49" s="477">
        <v>25963.7</v>
      </c>
      <c r="E49" s="458">
        <v>361985</v>
      </c>
      <c r="F49" s="463">
        <v>2900</v>
      </c>
      <c r="G49" s="493" t="s">
        <v>314</v>
      </c>
      <c r="H49" s="493" t="s">
        <v>314</v>
      </c>
      <c r="I49" s="493" t="s">
        <v>314</v>
      </c>
      <c r="J49" s="493" t="s">
        <v>314</v>
      </c>
      <c r="K49" s="495">
        <v>7</v>
      </c>
      <c r="L49" s="495">
        <v>7</v>
      </c>
      <c r="M49" s="495">
        <v>7</v>
      </c>
      <c r="N49" s="495">
        <v>7</v>
      </c>
      <c r="O49" s="461">
        <f t="shared" si="2"/>
        <v>0</v>
      </c>
      <c r="P49" s="355">
        <f t="shared" si="11"/>
        <v>2</v>
      </c>
      <c r="Q49" s="355">
        <v>5</v>
      </c>
      <c r="R49" s="2">
        <f t="shared" si="3"/>
        <v>30450</v>
      </c>
      <c r="S49" s="515">
        <f t="shared" si="4"/>
        <v>18713.699999999997</v>
      </c>
      <c r="T49" s="483">
        <f t="shared" si="10"/>
        <v>0</v>
      </c>
      <c r="U49" s="487">
        <v>574</v>
      </c>
      <c r="V49" s="485">
        <f t="shared" si="5"/>
        <v>13</v>
      </c>
      <c r="W49" s="485">
        <f t="shared" si="6"/>
        <v>13</v>
      </c>
      <c r="X49" s="488">
        <f t="shared" si="7"/>
        <v>0</v>
      </c>
      <c r="Y49" s="485"/>
    </row>
    <row r="50" spans="1:25" s="513" customFormat="1" ht="72.75" customHeight="1" x14ac:dyDescent="0.3">
      <c r="A50" s="499">
        <v>591</v>
      </c>
      <c r="B50" s="500">
        <v>0</v>
      </c>
      <c r="C50" s="501">
        <v>222760</v>
      </c>
      <c r="D50" s="502"/>
      <c r="E50" s="503">
        <v>222648.95</v>
      </c>
      <c r="F50" s="504"/>
      <c r="G50" s="505" t="s">
        <v>238</v>
      </c>
      <c r="H50" s="505" t="s">
        <v>238</v>
      </c>
      <c r="I50" s="505" t="s">
        <v>238</v>
      </c>
      <c r="J50" s="505" t="s">
        <v>238</v>
      </c>
      <c r="K50" s="517">
        <v>0</v>
      </c>
      <c r="L50" s="517">
        <v>0</v>
      </c>
      <c r="M50" s="517">
        <v>0</v>
      </c>
      <c r="N50" s="517">
        <v>0</v>
      </c>
      <c r="O50" s="507">
        <f t="shared" si="2"/>
        <v>0</v>
      </c>
      <c r="P50" s="508">
        <f t="shared" si="11"/>
        <v>0</v>
      </c>
      <c r="Q50" s="508"/>
      <c r="R50" s="2">
        <f t="shared" si="3"/>
        <v>0</v>
      </c>
      <c r="S50" s="515">
        <f t="shared" si="4"/>
        <v>0</v>
      </c>
      <c r="T50" s="514">
        <f t="shared" si="10"/>
        <v>-111.04999999998836</v>
      </c>
      <c r="U50" s="510">
        <v>591</v>
      </c>
      <c r="V50" s="511">
        <f t="shared" si="5"/>
        <v>8</v>
      </c>
      <c r="W50" s="511">
        <v>8</v>
      </c>
      <c r="X50" s="512">
        <f t="shared" si="7"/>
        <v>-111.04999999998836</v>
      </c>
      <c r="Y50" s="511"/>
    </row>
    <row r="51" spans="1:25" ht="17.25" customHeight="1" x14ac:dyDescent="0.3">
      <c r="A51" s="3">
        <v>592</v>
      </c>
      <c r="B51" s="446">
        <v>13050</v>
      </c>
      <c r="C51" s="447">
        <v>250605</v>
      </c>
      <c r="D51" s="477">
        <v>12987.9</v>
      </c>
      <c r="E51" s="458">
        <v>139225</v>
      </c>
      <c r="F51" s="461">
        <v>1450</v>
      </c>
      <c r="G51" s="493" t="s">
        <v>238</v>
      </c>
      <c r="H51" s="493" t="s">
        <v>238</v>
      </c>
      <c r="I51" s="493" t="s">
        <v>238</v>
      </c>
      <c r="J51" s="493" t="s">
        <v>238</v>
      </c>
      <c r="K51" s="495">
        <v>0</v>
      </c>
      <c r="L51" s="495">
        <v>0</v>
      </c>
      <c r="M51" s="495">
        <v>0</v>
      </c>
      <c r="N51" s="495">
        <v>0</v>
      </c>
      <c r="O51" s="461">
        <f t="shared" si="2"/>
        <v>-1</v>
      </c>
      <c r="P51" s="355">
        <f t="shared" si="11"/>
        <v>1</v>
      </c>
      <c r="Q51" s="355"/>
      <c r="R51" s="2">
        <f t="shared" si="3"/>
        <v>0</v>
      </c>
      <c r="S51" s="515">
        <f t="shared" si="4"/>
        <v>-62.100000000000364</v>
      </c>
      <c r="T51" s="483">
        <f t="shared" si="10"/>
        <v>-111380</v>
      </c>
      <c r="U51" s="487">
        <v>592</v>
      </c>
      <c r="V51" s="485">
        <f t="shared" si="5"/>
        <v>9</v>
      </c>
      <c r="W51" s="485">
        <f t="shared" si="6"/>
        <v>5</v>
      </c>
      <c r="X51" s="488">
        <f t="shared" si="7"/>
        <v>-111380</v>
      </c>
      <c r="Y51" s="485"/>
    </row>
    <row r="52" spans="1:25" s="513" customFormat="1" ht="17.25" customHeight="1" x14ac:dyDescent="0.3">
      <c r="A52" s="499">
        <v>593</v>
      </c>
      <c r="B52" s="500">
        <v>36250</v>
      </c>
      <c r="C52" s="501">
        <v>278450</v>
      </c>
      <c r="D52" s="502">
        <v>24200.18</v>
      </c>
      <c r="E52" s="503">
        <v>278450</v>
      </c>
      <c r="F52" s="504"/>
      <c r="G52" s="505" t="s">
        <v>329</v>
      </c>
      <c r="H52" s="505" t="s">
        <v>329</v>
      </c>
      <c r="I52" s="505" t="s">
        <v>329</v>
      </c>
      <c r="J52" s="505" t="s">
        <v>329</v>
      </c>
      <c r="K52" s="517">
        <v>1</v>
      </c>
      <c r="L52" s="517">
        <v>1</v>
      </c>
      <c r="M52" s="517">
        <v>1</v>
      </c>
      <c r="N52" s="517">
        <v>1</v>
      </c>
      <c r="O52" s="507">
        <f t="shared" si="2"/>
        <v>-1</v>
      </c>
      <c r="P52" s="508">
        <v>2</v>
      </c>
      <c r="Q52" s="508"/>
      <c r="R52" s="2">
        <f t="shared" si="3"/>
        <v>4350</v>
      </c>
      <c r="S52" s="515">
        <f>D52+R52-B52</f>
        <v>-7699.82</v>
      </c>
      <c r="T52" s="509">
        <f t="shared" si="10"/>
        <v>0</v>
      </c>
      <c r="U52" s="510">
        <v>593</v>
      </c>
      <c r="V52" s="511">
        <f t="shared" si="5"/>
        <v>10</v>
      </c>
      <c r="W52" s="511">
        <f t="shared" si="6"/>
        <v>10</v>
      </c>
      <c r="X52" s="512">
        <f t="shared" si="7"/>
        <v>0</v>
      </c>
      <c r="Y52" s="511"/>
    </row>
    <row r="53" spans="1:25" ht="17.25" customHeight="1" x14ac:dyDescent="0.3">
      <c r="A53" s="3">
        <v>625</v>
      </c>
      <c r="B53" s="446">
        <v>37700</v>
      </c>
      <c r="C53" s="447">
        <v>250605</v>
      </c>
      <c r="D53" s="477">
        <v>26042.51</v>
      </c>
      <c r="E53" s="458">
        <v>194915</v>
      </c>
      <c r="F53" s="461">
        <v>2900</v>
      </c>
      <c r="G53" s="493" t="s">
        <v>313</v>
      </c>
      <c r="H53" s="493" t="s">
        <v>313</v>
      </c>
      <c r="I53" s="493" t="s">
        <v>313</v>
      </c>
      <c r="J53" s="493" t="s">
        <v>313</v>
      </c>
      <c r="K53" s="495">
        <v>3</v>
      </c>
      <c r="L53" s="495">
        <v>3</v>
      </c>
      <c r="M53" s="495">
        <v>3</v>
      </c>
      <c r="N53" s="495">
        <v>3</v>
      </c>
      <c r="O53" s="461">
        <f t="shared" si="2"/>
        <v>0</v>
      </c>
      <c r="P53" s="355">
        <f>F53/$C$1</f>
        <v>2</v>
      </c>
      <c r="Q53" s="355">
        <v>1</v>
      </c>
      <c r="R53" s="2">
        <f t="shared" si="3"/>
        <v>13050</v>
      </c>
      <c r="S53" s="515">
        <f t="shared" si="4"/>
        <v>1392.5099999999948</v>
      </c>
      <c r="T53" s="483">
        <f t="shared" si="10"/>
        <v>-55690</v>
      </c>
      <c r="U53" s="487">
        <v>625</v>
      </c>
      <c r="V53" s="485">
        <f t="shared" si="5"/>
        <v>9</v>
      </c>
      <c r="W53" s="485">
        <f t="shared" si="6"/>
        <v>7</v>
      </c>
      <c r="X53" s="488">
        <f t="shared" si="7"/>
        <v>-55690</v>
      </c>
      <c r="Y53" s="485"/>
    </row>
    <row r="54" spans="1:25" ht="17.25" customHeight="1" x14ac:dyDescent="0.3">
      <c r="A54" s="3">
        <v>627</v>
      </c>
      <c r="B54" s="446">
        <v>257915</v>
      </c>
      <c r="C54" s="447">
        <v>417675</v>
      </c>
      <c r="D54" s="477">
        <v>41944.1</v>
      </c>
      <c r="E54" s="458">
        <v>417675</v>
      </c>
      <c r="F54" s="461">
        <v>4350</v>
      </c>
      <c r="G54" s="493" t="s">
        <v>238</v>
      </c>
      <c r="H54" s="493" t="s">
        <v>238</v>
      </c>
      <c r="I54" s="493" t="s">
        <v>238</v>
      </c>
      <c r="J54" s="493" t="s">
        <v>238</v>
      </c>
      <c r="K54" s="495">
        <v>0</v>
      </c>
      <c r="L54" s="495">
        <v>0</v>
      </c>
      <c r="M54" s="495">
        <v>0</v>
      </c>
      <c r="N54" s="495">
        <v>0</v>
      </c>
      <c r="O54" s="461">
        <f t="shared" si="2"/>
        <v>-3</v>
      </c>
      <c r="P54" s="355">
        <f>F54/$C$1</f>
        <v>3</v>
      </c>
      <c r="Q54" s="355"/>
      <c r="R54" s="2">
        <f t="shared" si="3"/>
        <v>0</v>
      </c>
      <c r="S54" s="515">
        <f t="shared" si="4"/>
        <v>-215970.9</v>
      </c>
      <c r="T54" s="483">
        <f t="shared" si="10"/>
        <v>0</v>
      </c>
      <c r="U54" s="487">
        <v>627</v>
      </c>
      <c r="V54" s="485">
        <f t="shared" si="5"/>
        <v>15</v>
      </c>
      <c r="W54" s="485">
        <f t="shared" si="6"/>
        <v>15</v>
      </c>
      <c r="X54" s="488">
        <f t="shared" si="7"/>
        <v>0</v>
      </c>
      <c r="Y54" s="485"/>
    </row>
    <row r="55" spans="1:25" s="513" customFormat="1" ht="90.75" customHeight="1" x14ac:dyDescent="0.3">
      <c r="A55" s="499">
        <v>639</v>
      </c>
      <c r="B55" s="500">
        <v>0</v>
      </c>
      <c r="C55" s="501">
        <v>389830</v>
      </c>
      <c r="D55" s="502"/>
      <c r="E55" s="503">
        <v>389830</v>
      </c>
      <c r="F55" s="504"/>
      <c r="G55" s="505" t="s">
        <v>306</v>
      </c>
      <c r="H55" s="505" t="s">
        <v>306</v>
      </c>
      <c r="I55" s="505" t="s">
        <v>306</v>
      </c>
      <c r="J55" s="505" t="s">
        <v>306</v>
      </c>
      <c r="K55" s="518">
        <v>2</v>
      </c>
      <c r="L55" s="518">
        <v>2</v>
      </c>
      <c r="M55" s="518">
        <v>2</v>
      </c>
      <c r="N55" s="518">
        <v>2</v>
      </c>
      <c r="O55" s="507">
        <f t="shared" si="2"/>
        <v>0</v>
      </c>
      <c r="P55" s="508">
        <f>F55/$C$1</f>
        <v>0</v>
      </c>
      <c r="Q55" s="508">
        <v>2</v>
      </c>
      <c r="R55" s="2">
        <f t="shared" si="3"/>
        <v>8700</v>
      </c>
      <c r="S55" s="515">
        <f t="shared" si="4"/>
        <v>8700</v>
      </c>
      <c r="T55" s="509">
        <f t="shared" si="10"/>
        <v>0</v>
      </c>
      <c r="U55" s="510">
        <v>639</v>
      </c>
      <c r="V55" s="511">
        <f t="shared" si="5"/>
        <v>14</v>
      </c>
      <c r="W55" s="511">
        <f t="shared" si="6"/>
        <v>14</v>
      </c>
      <c r="X55" s="512">
        <f t="shared" si="7"/>
        <v>0</v>
      </c>
      <c r="Y55" s="511"/>
    </row>
    <row r="56" spans="1:25" ht="17.25" customHeight="1" x14ac:dyDescent="0.3">
      <c r="A56" s="3">
        <v>641</v>
      </c>
      <c r="B56" s="446">
        <v>18850</v>
      </c>
      <c r="C56" s="447">
        <v>306295</v>
      </c>
      <c r="D56" s="477">
        <v>12957.9</v>
      </c>
      <c r="E56" s="458">
        <v>306295</v>
      </c>
      <c r="F56" s="461">
        <v>1450</v>
      </c>
      <c r="G56" s="493" t="s">
        <v>274</v>
      </c>
      <c r="H56" s="493" t="s">
        <v>274</v>
      </c>
      <c r="I56" s="493" t="s">
        <v>274</v>
      </c>
      <c r="J56" s="493" t="s">
        <v>274</v>
      </c>
      <c r="K56" s="495">
        <v>1</v>
      </c>
      <c r="L56" s="495">
        <v>1</v>
      </c>
      <c r="M56" s="495">
        <v>1</v>
      </c>
      <c r="N56" s="495">
        <v>1</v>
      </c>
      <c r="O56" s="461">
        <f t="shared" si="2"/>
        <v>0</v>
      </c>
      <c r="P56" s="355">
        <f>F56/$C$1</f>
        <v>1</v>
      </c>
      <c r="Q56" s="355"/>
      <c r="R56" s="2">
        <f t="shared" si="3"/>
        <v>4350</v>
      </c>
      <c r="S56" s="515">
        <f t="shared" si="4"/>
        <v>-1542.0999999999985</v>
      </c>
      <c r="T56" s="483">
        <f t="shared" si="10"/>
        <v>0</v>
      </c>
      <c r="U56" s="487">
        <v>641</v>
      </c>
      <c r="V56" s="485">
        <f t="shared" si="5"/>
        <v>11</v>
      </c>
      <c r="W56" s="485">
        <f t="shared" si="6"/>
        <v>11</v>
      </c>
      <c r="X56" s="488">
        <f t="shared" si="7"/>
        <v>0</v>
      </c>
      <c r="Y56" s="485"/>
    </row>
    <row r="57" spans="1:25" ht="17.25" customHeight="1" x14ac:dyDescent="0.3">
      <c r="A57" s="3">
        <v>667</v>
      </c>
      <c r="B57" s="446">
        <v>26100</v>
      </c>
      <c r="C57" s="447">
        <v>445520</v>
      </c>
      <c r="D57" s="477">
        <v>25978.3</v>
      </c>
      <c r="E57" s="458">
        <v>445520</v>
      </c>
      <c r="F57" s="461">
        <v>2900</v>
      </c>
      <c r="G57" s="493" t="s">
        <v>238</v>
      </c>
      <c r="H57" s="493" t="s">
        <v>238</v>
      </c>
      <c r="I57" s="493" t="s">
        <v>238</v>
      </c>
      <c r="J57" s="493" t="s">
        <v>238</v>
      </c>
      <c r="K57" s="495">
        <v>0</v>
      </c>
      <c r="L57" s="495">
        <v>0</v>
      </c>
      <c r="M57" s="495">
        <v>0</v>
      </c>
      <c r="N57" s="495">
        <v>0</v>
      </c>
      <c r="O57" s="461">
        <f t="shared" si="2"/>
        <v>-2</v>
      </c>
      <c r="P57" s="355">
        <f>F57/$C$1</f>
        <v>2</v>
      </c>
      <c r="Q57" s="355"/>
      <c r="R57" s="2">
        <f t="shared" si="3"/>
        <v>0</v>
      </c>
      <c r="S57" s="515">
        <f t="shared" si="4"/>
        <v>-121.70000000000073</v>
      </c>
      <c r="T57" s="483">
        <f t="shared" si="10"/>
        <v>0</v>
      </c>
      <c r="U57" s="487">
        <v>667</v>
      </c>
      <c r="V57" s="485">
        <f t="shared" si="5"/>
        <v>16</v>
      </c>
      <c r="W57" s="485">
        <f t="shared" si="6"/>
        <v>16</v>
      </c>
      <c r="X57" s="488">
        <f t="shared" si="7"/>
        <v>0</v>
      </c>
      <c r="Y57" s="485"/>
    </row>
    <row r="58" spans="1:25" ht="17.25" customHeight="1" x14ac:dyDescent="0.3">
      <c r="A58" s="3">
        <v>689</v>
      </c>
      <c r="B58" s="446">
        <v>34720.400000000001</v>
      </c>
      <c r="C58" s="476">
        <f>152649.6</f>
        <v>152649.60000000001</v>
      </c>
      <c r="D58" s="477">
        <v>28543.4</v>
      </c>
      <c r="E58" s="458">
        <v>139225</v>
      </c>
      <c r="F58" s="461">
        <v>2523</v>
      </c>
      <c r="G58" s="493" t="s">
        <v>308</v>
      </c>
      <c r="H58" s="493" t="s">
        <v>308</v>
      </c>
      <c r="I58" s="493" t="s">
        <v>308</v>
      </c>
      <c r="J58" s="493" t="s">
        <v>308</v>
      </c>
      <c r="K58" s="495">
        <v>3</v>
      </c>
      <c r="L58" s="495">
        <v>3</v>
      </c>
      <c r="M58" s="495">
        <v>3</v>
      </c>
      <c r="N58" s="495">
        <v>3</v>
      </c>
      <c r="O58" s="461">
        <f t="shared" si="2"/>
        <v>-1</v>
      </c>
      <c r="P58" s="355">
        <v>2</v>
      </c>
      <c r="Q58" s="355">
        <v>2</v>
      </c>
      <c r="R58" s="2">
        <f t="shared" si="3"/>
        <v>13050</v>
      </c>
      <c r="S58" s="515">
        <f t="shared" si="4"/>
        <v>6873</v>
      </c>
      <c r="T58" s="484">
        <f t="shared" si="10"/>
        <v>-13424.600000000006</v>
      </c>
      <c r="U58" s="487">
        <v>689</v>
      </c>
      <c r="V58" s="489">
        <v>6</v>
      </c>
      <c r="W58" s="485">
        <f t="shared" si="6"/>
        <v>5</v>
      </c>
      <c r="X58" s="488">
        <f t="shared" si="7"/>
        <v>-13424.600000000006</v>
      </c>
      <c r="Y58" s="485"/>
    </row>
    <row r="59" spans="1:25" ht="17.25" customHeight="1" x14ac:dyDescent="0.3">
      <c r="A59" s="3">
        <v>690</v>
      </c>
      <c r="B59" s="446">
        <v>59450</v>
      </c>
      <c r="C59" s="447">
        <v>278450</v>
      </c>
      <c r="D59" s="477">
        <v>37622.9</v>
      </c>
      <c r="E59" s="458">
        <v>278450</v>
      </c>
      <c r="F59" s="461">
        <v>2900</v>
      </c>
      <c r="G59" s="493" t="s">
        <v>290</v>
      </c>
      <c r="H59" s="493" t="s">
        <v>290</v>
      </c>
      <c r="I59" s="493" t="s">
        <v>290</v>
      </c>
      <c r="J59" s="493" t="s">
        <v>290</v>
      </c>
      <c r="K59" s="495">
        <v>1</v>
      </c>
      <c r="L59" s="495">
        <v>1</v>
      </c>
      <c r="M59" s="495">
        <v>1</v>
      </c>
      <c r="N59" s="495">
        <v>1</v>
      </c>
      <c r="O59" s="461">
        <f t="shared" si="2"/>
        <v>-2</v>
      </c>
      <c r="P59" s="355">
        <f>F59/$C$1</f>
        <v>2</v>
      </c>
      <c r="Q59" s="355">
        <v>1</v>
      </c>
      <c r="R59" s="2">
        <f t="shared" si="3"/>
        <v>4350</v>
      </c>
      <c r="S59" s="515">
        <f t="shared" si="4"/>
        <v>-17477.099999999999</v>
      </c>
      <c r="T59" s="483">
        <f t="shared" si="10"/>
        <v>0</v>
      </c>
      <c r="U59" s="487">
        <v>690</v>
      </c>
      <c r="V59" s="485">
        <f t="shared" si="5"/>
        <v>10</v>
      </c>
      <c r="W59" s="485">
        <f t="shared" si="6"/>
        <v>10</v>
      </c>
      <c r="X59" s="488">
        <f t="shared" si="7"/>
        <v>0</v>
      </c>
      <c r="Y59" s="485"/>
    </row>
    <row r="60" spans="1:25" ht="17.25" customHeight="1" x14ac:dyDescent="0.3">
      <c r="A60" s="3">
        <v>691</v>
      </c>
      <c r="B60" s="446">
        <v>0</v>
      </c>
      <c r="C60" s="447">
        <v>0</v>
      </c>
      <c r="D60" s="477">
        <v>0</v>
      </c>
      <c r="E60" s="458">
        <v>0</v>
      </c>
      <c r="F60" s="461"/>
      <c r="G60" s="498" t="s">
        <v>321</v>
      </c>
      <c r="H60" s="498" t="s">
        <v>321</v>
      </c>
      <c r="I60" s="498" t="s">
        <v>321</v>
      </c>
      <c r="J60" s="498" t="s">
        <v>321</v>
      </c>
      <c r="K60" s="495">
        <v>4</v>
      </c>
      <c r="L60" s="495">
        <v>4</v>
      </c>
      <c r="M60" s="495">
        <v>4</v>
      </c>
      <c r="N60" s="495">
        <v>4</v>
      </c>
      <c r="O60" s="461">
        <f t="shared" si="2"/>
        <v>0</v>
      </c>
      <c r="P60" s="355"/>
      <c r="Q60" s="355">
        <v>4</v>
      </c>
      <c r="R60" s="2">
        <f t="shared" si="3"/>
        <v>17400</v>
      </c>
      <c r="S60" s="515">
        <f t="shared" si="4"/>
        <v>17400</v>
      </c>
      <c r="T60" s="483">
        <f t="shared" si="10"/>
        <v>0</v>
      </c>
      <c r="U60" s="487">
        <v>691</v>
      </c>
      <c r="V60" s="485">
        <f t="shared" si="5"/>
        <v>0</v>
      </c>
      <c r="W60" s="485">
        <f t="shared" si="6"/>
        <v>0</v>
      </c>
      <c r="X60" s="488">
        <f t="shared" si="7"/>
        <v>0</v>
      </c>
      <c r="Y60" s="485"/>
    </row>
    <row r="61" spans="1:25" ht="17.25" customHeight="1" x14ac:dyDescent="0.3">
      <c r="A61" s="3" t="s">
        <v>68</v>
      </c>
      <c r="B61" s="446">
        <v>26100</v>
      </c>
      <c r="C61" s="447">
        <v>167070</v>
      </c>
      <c r="D61" s="477">
        <v>24572</v>
      </c>
      <c r="E61" s="458">
        <v>139225</v>
      </c>
      <c r="F61" s="461">
        <v>2900</v>
      </c>
      <c r="G61" s="493" t="s">
        <v>317</v>
      </c>
      <c r="H61" s="493" t="s">
        <v>317</v>
      </c>
      <c r="I61" s="493" t="s">
        <v>317</v>
      </c>
      <c r="J61" s="493" t="s">
        <v>317</v>
      </c>
      <c r="K61" s="495">
        <v>1</v>
      </c>
      <c r="L61" s="495">
        <v>1</v>
      </c>
      <c r="M61" s="495">
        <v>1</v>
      </c>
      <c r="N61" s="495">
        <v>1</v>
      </c>
      <c r="O61" s="461">
        <f t="shared" si="2"/>
        <v>-2</v>
      </c>
      <c r="P61" s="355">
        <f>F61/$C$1</f>
        <v>2</v>
      </c>
      <c r="Q61" s="355">
        <v>1</v>
      </c>
      <c r="R61" s="2">
        <f t="shared" si="3"/>
        <v>4350</v>
      </c>
      <c r="S61" s="515">
        <f t="shared" si="4"/>
        <v>2822</v>
      </c>
      <c r="T61" s="483">
        <f t="shared" si="10"/>
        <v>-27845</v>
      </c>
      <c r="U61" s="487" t="s">
        <v>68</v>
      </c>
      <c r="V61" s="485">
        <f t="shared" si="5"/>
        <v>6</v>
      </c>
      <c r="W61" s="485">
        <f t="shared" si="6"/>
        <v>5</v>
      </c>
      <c r="X61" s="488">
        <f t="shared" si="7"/>
        <v>-27845</v>
      </c>
      <c r="Y61" s="485"/>
    </row>
    <row r="62" spans="1:25" ht="17.25" customHeight="1" x14ac:dyDescent="0.3">
      <c r="A62" s="3" t="s">
        <v>195</v>
      </c>
      <c r="B62" s="446">
        <v>0</v>
      </c>
      <c r="C62" s="447">
        <v>55690</v>
      </c>
      <c r="D62" s="478"/>
      <c r="E62" s="458">
        <v>55690</v>
      </c>
      <c r="F62" s="463"/>
      <c r="G62" s="493" t="s">
        <v>238</v>
      </c>
      <c r="H62" s="493" t="s">
        <v>238</v>
      </c>
      <c r="I62" s="493" t="s">
        <v>238</v>
      </c>
      <c r="J62" s="493" t="s">
        <v>238</v>
      </c>
      <c r="K62" s="495">
        <v>0</v>
      </c>
      <c r="L62" s="495">
        <v>0</v>
      </c>
      <c r="M62" s="495">
        <v>0</v>
      </c>
      <c r="N62" s="495">
        <v>0</v>
      </c>
      <c r="O62" s="461">
        <f t="shared" si="2"/>
        <v>0</v>
      </c>
      <c r="P62" s="355">
        <f>F62/$C$1</f>
        <v>0</v>
      </c>
      <c r="Q62" s="355"/>
      <c r="R62" s="2">
        <f t="shared" si="3"/>
        <v>0</v>
      </c>
      <c r="S62" s="515">
        <f t="shared" si="4"/>
        <v>0</v>
      </c>
      <c r="T62" s="483">
        <f t="shared" si="10"/>
        <v>0</v>
      </c>
      <c r="U62" s="487" t="s">
        <v>195</v>
      </c>
      <c r="V62" s="485">
        <f t="shared" si="5"/>
        <v>2</v>
      </c>
      <c r="W62" s="485">
        <f t="shared" si="6"/>
        <v>2</v>
      </c>
      <c r="X62" s="488">
        <f>E62-C62</f>
        <v>0</v>
      </c>
      <c r="Y62" s="485"/>
    </row>
    <row r="63" spans="1:25" ht="17.25" customHeight="1" x14ac:dyDescent="0.3">
      <c r="A63" s="3" t="s">
        <v>194</v>
      </c>
      <c r="B63" s="446">
        <v>98600</v>
      </c>
      <c r="C63" s="447">
        <v>278450</v>
      </c>
      <c r="D63" s="477">
        <v>57920.3</v>
      </c>
      <c r="E63" s="458">
        <v>278450</v>
      </c>
      <c r="F63" s="461">
        <v>7250</v>
      </c>
      <c r="G63" s="493" t="s">
        <v>294</v>
      </c>
      <c r="H63" s="493" t="s">
        <v>294</v>
      </c>
      <c r="I63" s="493" t="s">
        <v>294</v>
      </c>
      <c r="J63" s="493" t="s">
        <v>294</v>
      </c>
      <c r="K63" s="495">
        <v>6</v>
      </c>
      <c r="L63" s="495">
        <v>6</v>
      </c>
      <c r="M63" s="495">
        <v>6</v>
      </c>
      <c r="N63" s="495">
        <v>6</v>
      </c>
      <c r="O63" s="461">
        <f t="shared" si="2"/>
        <v>0</v>
      </c>
      <c r="P63" s="355">
        <f>F63/$C$1</f>
        <v>5</v>
      </c>
      <c r="Q63" s="355">
        <v>1</v>
      </c>
      <c r="R63" s="2">
        <f t="shared" si="3"/>
        <v>26100</v>
      </c>
      <c r="S63" s="515">
        <f t="shared" si="4"/>
        <v>-14579.699999999997</v>
      </c>
      <c r="T63" s="483">
        <f t="shared" si="10"/>
        <v>0</v>
      </c>
      <c r="U63" s="487" t="s">
        <v>194</v>
      </c>
      <c r="V63" s="485">
        <f t="shared" si="5"/>
        <v>10</v>
      </c>
      <c r="W63" s="485">
        <f t="shared" si="6"/>
        <v>10</v>
      </c>
      <c r="X63" s="488">
        <f t="shared" si="7"/>
        <v>0</v>
      </c>
      <c r="Y63" s="485"/>
    </row>
    <row r="64" spans="1:25" ht="17.25" customHeight="1" x14ac:dyDescent="0.3">
      <c r="A64" s="3" t="s">
        <v>192</v>
      </c>
      <c r="B64" s="446">
        <v>10150</v>
      </c>
      <c r="C64" s="447">
        <v>334140</v>
      </c>
      <c r="D64" s="477">
        <v>10142.51</v>
      </c>
      <c r="E64" s="458">
        <v>334140</v>
      </c>
      <c r="F64" s="461">
        <v>1450</v>
      </c>
      <c r="G64" s="493" t="s">
        <v>275</v>
      </c>
      <c r="H64" s="493" t="s">
        <v>276</v>
      </c>
      <c r="I64" s="493" t="s">
        <v>276</v>
      </c>
      <c r="J64" s="493" t="s">
        <v>276</v>
      </c>
      <c r="K64" s="495">
        <v>2</v>
      </c>
      <c r="L64" s="495">
        <v>1</v>
      </c>
      <c r="M64" s="495">
        <v>1</v>
      </c>
      <c r="N64" s="495">
        <v>1</v>
      </c>
      <c r="O64" s="461">
        <f t="shared" si="2"/>
        <v>1</v>
      </c>
      <c r="P64" s="355">
        <f>F64/$C$1</f>
        <v>1</v>
      </c>
      <c r="Q64" s="355"/>
      <c r="R64" s="2">
        <f t="shared" si="3"/>
        <v>5800</v>
      </c>
      <c r="S64" s="515">
        <f t="shared" si="4"/>
        <v>5792.51</v>
      </c>
      <c r="T64" s="483">
        <f t="shared" si="10"/>
        <v>0</v>
      </c>
      <c r="U64" s="487" t="s">
        <v>192</v>
      </c>
      <c r="V64" s="485">
        <f t="shared" si="5"/>
        <v>12</v>
      </c>
      <c r="W64" s="485">
        <f t="shared" si="6"/>
        <v>12</v>
      </c>
      <c r="X64" s="488">
        <f t="shared" si="7"/>
        <v>0</v>
      </c>
      <c r="Y64" s="485"/>
    </row>
    <row r="65" spans="1:26" s="513" customFormat="1" ht="17.25" customHeight="1" x14ac:dyDescent="0.3">
      <c r="A65" s="499" t="s">
        <v>193</v>
      </c>
      <c r="B65" s="500">
        <v>183111.24</v>
      </c>
      <c r="C65" s="501">
        <v>417675</v>
      </c>
      <c r="D65" s="502">
        <v>118900</v>
      </c>
      <c r="E65" s="503">
        <v>417675</v>
      </c>
      <c r="F65" s="507">
        <v>1698</v>
      </c>
      <c r="G65" s="505" t="s">
        <v>326</v>
      </c>
      <c r="H65" s="505" t="s">
        <v>326</v>
      </c>
      <c r="I65" s="505" t="s">
        <v>326</v>
      </c>
      <c r="J65" s="505" t="s">
        <v>326</v>
      </c>
      <c r="K65" s="506">
        <v>2</v>
      </c>
      <c r="L65" s="506">
        <v>2</v>
      </c>
      <c r="M65" s="506">
        <v>2</v>
      </c>
      <c r="N65" s="506">
        <v>2</v>
      </c>
      <c r="O65" s="507">
        <f t="shared" si="2"/>
        <v>-1</v>
      </c>
      <c r="P65" s="508">
        <v>1</v>
      </c>
      <c r="Q65" s="508">
        <v>2</v>
      </c>
      <c r="R65" s="2">
        <f t="shared" si="3"/>
        <v>8700</v>
      </c>
      <c r="S65" s="515">
        <f t="shared" si="4"/>
        <v>-55511.239999999991</v>
      </c>
      <c r="T65" s="509">
        <f t="shared" si="10"/>
        <v>0</v>
      </c>
      <c r="U65" s="510" t="s">
        <v>193</v>
      </c>
      <c r="V65" s="511">
        <f t="shared" si="5"/>
        <v>15</v>
      </c>
      <c r="W65" s="511">
        <f t="shared" si="6"/>
        <v>15</v>
      </c>
      <c r="X65" s="512">
        <f t="shared" si="7"/>
        <v>0</v>
      </c>
      <c r="Y65" s="511"/>
    </row>
    <row r="66" spans="1:26" ht="17.25" customHeight="1" x14ac:dyDescent="0.3">
      <c r="A66" s="3" t="s">
        <v>196</v>
      </c>
      <c r="B66" s="446">
        <v>31900</v>
      </c>
      <c r="C66" s="447">
        <v>222760</v>
      </c>
      <c r="D66" s="477">
        <v>24760.9</v>
      </c>
      <c r="E66" s="458">
        <v>222760</v>
      </c>
      <c r="F66" s="461">
        <v>2900</v>
      </c>
      <c r="G66" s="493" t="s">
        <v>277</v>
      </c>
      <c r="H66" s="493" t="s">
        <v>278</v>
      </c>
      <c r="I66" s="493" t="s">
        <v>278</v>
      </c>
      <c r="J66" s="493" t="s">
        <v>278</v>
      </c>
      <c r="K66" s="495">
        <v>1</v>
      </c>
      <c r="L66" s="495">
        <v>1</v>
      </c>
      <c r="M66" s="495">
        <v>1</v>
      </c>
      <c r="N66" s="495">
        <v>1</v>
      </c>
      <c r="O66" s="461">
        <f t="shared" si="2"/>
        <v>-1</v>
      </c>
      <c r="P66" s="355">
        <f t="shared" ref="P66:P73" si="12">F66/$C$1</f>
        <v>2</v>
      </c>
      <c r="Q66" s="355"/>
      <c r="R66" s="2">
        <f t="shared" si="3"/>
        <v>4350</v>
      </c>
      <c r="S66" s="515">
        <f t="shared" si="4"/>
        <v>-2789.0999999999985</v>
      </c>
      <c r="T66" s="483">
        <f t="shared" si="10"/>
        <v>0</v>
      </c>
      <c r="U66" s="487" t="s">
        <v>196</v>
      </c>
      <c r="V66" s="485">
        <f t="shared" si="5"/>
        <v>8</v>
      </c>
      <c r="W66" s="485">
        <f t="shared" si="6"/>
        <v>8</v>
      </c>
      <c r="X66" s="488">
        <f t="shared" si="7"/>
        <v>0</v>
      </c>
      <c r="Y66" s="485"/>
    </row>
    <row r="67" spans="1:26" ht="17.25" customHeight="1" x14ac:dyDescent="0.3">
      <c r="A67" s="3" t="s">
        <v>199</v>
      </c>
      <c r="B67" s="446">
        <v>37700</v>
      </c>
      <c r="C67" s="447">
        <v>167070</v>
      </c>
      <c r="D67" s="477">
        <v>26100</v>
      </c>
      <c r="E67" s="458">
        <v>167070</v>
      </c>
      <c r="F67" s="463">
        <v>2900</v>
      </c>
      <c r="G67" s="493" t="s">
        <v>280</v>
      </c>
      <c r="H67" s="493" t="s">
        <v>281</v>
      </c>
      <c r="I67" s="493" t="s">
        <v>281</v>
      </c>
      <c r="J67" s="493" t="s">
        <v>281</v>
      </c>
      <c r="K67" s="495">
        <v>1</v>
      </c>
      <c r="L67" s="495">
        <v>1</v>
      </c>
      <c r="M67" s="495">
        <v>1</v>
      </c>
      <c r="N67" s="495">
        <v>1</v>
      </c>
      <c r="O67" s="461">
        <f t="shared" si="2"/>
        <v>-1</v>
      </c>
      <c r="P67" s="355">
        <f t="shared" si="12"/>
        <v>2</v>
      </c>
      <c r="Q67" s="355"/>
      <c r="R67" s="2">
        <f t="shared" si="3"/>
        <v>4350</v>
      </c>
      <c r="S67" s="515">
        <f t="shared" si="4"/>
        <v>-7250</v>
      </c>
      <c r="T67" s="483">
        <f t="shared" ref="T67:T73" si="13">E67-C67</f>
        <v>0</v>
      </c>
      <c r="U67" s="487" t="s">
        <v>199</v>
      </c>
      <c r="V67" s="485">
        <f t="shared" si="5"/>
        <v>6</v>
      </c>
      <c r="W67" s="485">
        <f t="shared" si="6"/>
        <v>6</v>
      </c>
      <c r="X67" s="488">
        <f t="shared" si="7"/>
        <v>0</v>
      </c>
      <c r="Y67" s="485"/>
    </row>
    <row r="68" spans="1:26" ht="17.25" customHeight="1" x14ac:dyDescent="0.3">
      <c r="A68" s="3" t="s">
        <v>197</v>
      </c>
      <c r="B68" s="446">
        <v>18850</v>
      </c>
      <c r="C68" s="447">
        <v>361985</v>
      </c>
      <c r="D68" s="477">
        <v>12977.51</v>
      </c>
      <c r="E68" s="458">
        <v>361985</v>
      </c>
      <c r="F68" s="461">
        <v>1450</v>
      </c>
      <c r="G68" s="493" t="s">
        <v>282</v>
      </c>
      <c r="H68" s="493" t="s">
        <v>283</v>
      </c>
      <c r="I68" s="493" t="s">
        <v>282</v>
      </c>
      <c r="J68" s="493" t="s">
        <v>282</v>
      </c>
      <c r="K68" s="495">
        <v>1</v>
      </c>
      <c r="L68" s="495">
        <v>1</v>
      </c>
      <c r="M68" s="495">
        <v>1</v>
      </c>
      <c r="N68" s="495">
        <v>1</v>
      </c>
      <c r="O68" s="461">
        <f t="shared" ref="O68:O73" si="14">K68-P68-Q68</f>
        <v>0</v>
      </c>
      <c r="P68" s="355">
        <f t="shared" si="12"/>
        <v>1</v>
      </c>
      <c r="Q68" s="355"/>
      <c r="R68" s="2">
        <f t="shared" ref="R68:R73" si="15">(K68+L68+M68)*$C$1</f>
        <v>4350</v>
      </c>
      <c r="S68" s="515">
        <f t="shared" ref="S68:S73" si="16">D68+R68-B68</f>
        <v>-1522.489999999998</v>
      </c>
      <c r="T68" s="483">
        <f t="shared" si="13"/>
        <v>0</v>
      </c>
      <c r="U68" s="487" t="s">
        <v>197</v>
      </c>
      <c r="V68" s="485">
        <f t="shared" ref="V68:V73" si="17">C68/$B$1</f>
        <v>13</v>
      </c>
      <c r="W68" s="485">
        <f t="shared" ref="W68:W73" si="18">E68/$B$1</f>
        <v>13</v>
      </c>
      <c r="X68" s="488">
        <f t="shared" ref="X68:X74" si="19">E68-C68</f>
        <v>0</v>
      </c>
      <c r="Y68" s="485"/>
    </row>
    <row r="69" spans="1:26" ht="17.25" customHeight="1" x14ac:dyDescent="0.3">
      <c r="A69" s="3" t="s">
        <v>119</v>
      </c>
      <c r="B69" s="446">
        <v>0</v>
      </c>
      <c r="C69" s="447">
        <v>167070</v>
      </c>
      <c r="D69" s="478"/>
      <c r="E69" s="458">
        <v>167070</v>
      </c>
      <c r="F69" s="463"/>
      <c r="G69" s="493" t="s">
        <v>247</v>
      </c>
      <c r="H69" s="493" t="s">
        <v>250</v>
      </c>
      <c r="I69" s="493" t="s">
        <v>245</v>
      </c>
      <c r="J69" s="493" t="s">
        <v>246</v>
      </c>
      <c r="K69" s="495">
        <v>0</v>
      </c>
      <c r="L69" s="495">
        <v>0</v>
      </c>
      <c r="M69" s="495">
        <v>0</v>
      </c>
      <c r="N69" s="495">
        <v>0</v>
      </c>
      <c r="O69" s="461">
        <f t="shared" si="14"/>
        <v>0</v>
      </c>
      <c r="P69" s="355">
        <f t="shared" si="12"/>
        <v>0</v>
      </c>
      <c r="Q69" s="355"/>
      <c r="R69" s="2">
        <f t="shared" si="15"/>
        <v>0</v>
      </c>
      <c r="S69" s="515">
        <f t="shared" si="16"/>
        <v>0</v>
      </c>
      <c r="T69" s="483">
        <f t="shared" si="13"/>
        <v>0</v>
      </c>
      <c r="U69" s="487" t="s">
        <v>119</v>
      </c>
      <c r="V69" s="485">
        <f t="shared" si="17"/>
        <v>6</v>
      </c>
      <c r="W69" s="485">
        <f t="shared" si="18"/>
        <v>6</v>
      </c>
      <c r="X69" s="488">
        <f t="shared" si="19"/>
        <v>0</v>
      </c>
      <c r="Y69" s="485"/>
    </row>
    <row r="70" spans="1:26" ht="17.25" customHeight="1" x14ac:dyDescent="0.3">
      <c r="A70" s="3" t="s">
        <v>74</v>
      </c>
      <c r="B70" s="446">
        <v>81200</v>
      </c>
      <c r="C70" s="447">
        <v>334140</v>
      </c>
      <c r="D70" s="477">
        <v>62212.52</v>
      </c>
      <c r="E70" s="458">
        <v>334140</v>
      </c>
      <c r="F70" s="461">
        <v>5800</v>
      </c>
      <c r="G70" s="493" t="s">
        <v>284</v>
      </c>
      <c r="H70" s="493" t="s">
        <v>284</v>
      </c>
      <c r="I70" s="493" t="s">
        <v>285</v>
      </c>
      <c r="J70" s="493" t="s">
        <v>284</v>
      </c>
      <c r="K70" s="495">
        <v>3</v>
      </c>
      <c r="L70" s="495">
        <v>3</v>
      </c>
      <c r="M70" s="495">
        <v>3</v>
      </c>
      <c r="N70" s="495">
        <v>3</v>
      </c>
      <c r="O70" s="461">
        <f t="shared" si="14"/>
        <v>-1</v>
      </c>
      <c r="P70" s="355">
        <f t="shared" si="12"/>
        <v>4</v>
      </c>
      <c r="Q70" s="355"/>
      <c r="R70" s="2">
        <f t="shared" si="15"/>
        <v>13050</v>
      </c>
      <c r="S70" s="515">
        <f t="shared" si="16"/>
        <v>-5937.4800000000105</v>
      </c>
      <c r="T70" s="483">
        <f t="shared" si="13"/>
        <v>0</v>
      </c>
      <c r="U70" s="487" t="s">
        <v>74</v>
      </c>
      <c r="V70" s="485">
        <f t="shared" si="17"/>
        <v>12</v>
      </c>
      <c r="W70" s="485">
        <f t="shared" si="18"/>
        <v>12</v>
      </c>
      <c r="X70" s="488">
        <f t="shared" si="19"/>
        <v>0</v>
      </c>
      <c r="Y70" s="485"/>
    </row>
    <row r="71" spans="1:26" ht="17.25" customHeight="1" x14ac:dyDescent="0.3">
      <c r="A71" s="3" t="s">
        <v>75</v>
      </c>
      <c r="B71" s="446">
        <v>97150</v>
      </c>
      <c r="C71" s="447">
        <v>473365</v>
      </c>
      <c r="D71" s="477">
        <v>59346.9</v>
      </c>
      <c r="E71" s="458">
        <v>473365</v>
      </c>
      <c r="F71" s="463">
        <v>4350</v>
      </c>
      <c r="G71" s="493" t="s">
        <v>286</v>
      </c>
      <c r="H71" s="493" t="s">
        <v>286</v>
      </c>
      <c r="I71" s="493" t="s">
        <v>286</v>
      </c>
      <c r="J71" s="493" t="s">
        <v>286</v>
      </c>
      <c r="K71" s="495">
        <v>1</v>
      </c>
      <c r="L71" s="495">
        <v>1</v>
      </c>
      <c r="M71" s="495">
        <v>1</v>
      </c>
      <c r="N71" s="495">
        <v>1</v>
      </c>
      <c r="O71" s="461">
        <f t="shared" si="14"/>
        <v>-2</v>
      </c>
      <c r="P71" s="355">
        <f t="shared" si="12"/>
        <v>3</v>
      </c>
      <c r="Q71" s="355"/>
      <c r="R71" s="2">
        <f t="shared" si="15"/>
        <v>4350</v>
      </c>
      <c r="S71" s="515">
        <f t="shared" si="16"/>
        <v>-33453.1</v>
      </c>
      <c r="T71" s="483">
        <f t="shared" si="13"/>
        <v>0</v>
      </c>
      <c r="U71" s="487" t="s">
        <v>75</v>
      </c>
      <c r="V71" s="485">
        <f t="shared" si="17"/>
        <v>17</v>
      </c>
      <c r="W71" s="485">
        <f t="shared" si="18"/>
        <v>17</v>
      </c>
      <c r="X71" s="488">
        <f t="shared" si="19"/>
        <v>0</v>
      </c>
      <c r="Y71" s="485"/>
    </row>
    <row r="72" spans="1:26" ht="17.25" customHeight="1" x14ac:dyDescent="0.3">
      <c r="A72" s="3" t="s">
        <v>70</v>
      </c>
      <c r="B72" s="446">
        <v>42050</v>
      </c>
      <c r="C72" s="447">
        <v>55690</v>
      </c>
      <c r="D72" s="477">
        <v>30385.4</v>
      </c>
      <c r="E72" s="458">
        <v>55690</v>
      </c>
      <c r="F72" s="461">
        <v>2900</v>
      </c>
      <c r="G72" s="493" t="s">
        <v>287</v>
      </c>
      <c r="H72" s="493" t="s">
        <v>287</v>
      </c>
      <c r="I72" s="493" t="s">
        <v>287</v>
      </c>
      <c r="J72" s="493" t="s">
        <v>288</v>
      </c>
      <c r="K72" s="495">
        <v>2</v>
      </c>
      <c r="L72" s="495">
        <v>2</v>
      </c>
      <c r="M72" s="495">
        <v>2</v>
      </c>
      <c r="N72" s="495">
        <v>2</v>
      </c>
      <c r="O72" s="461">
        <f t="shared" si="14"/>
        <v>0</v>
      </c>
      <c r="P72" s="355">
        <f t="shared" si="12"/>
        <v>2</v>
      </c>
      <c r="Q72" s="355"/>
      <c r="R72" s="2">
        <f t="shared" si="15"/>
        <v>8700</v>
      </c>
      <c r="S72" s="515">
        <f t="shared" si="16"/>
        <v>-2964.5999999999985</v>
      </c>
      <c r="T72" s="483">
        <f t="shared" si="13"/>
        <v>0</v>
      </c>
      <c r="U72" s="487" t="s">
        <v>70</v>
      </c>
      <c r="V72" s="485">
        <f t="shared" si="17"/>
        <v>2</v>
      </c>
      <c r="W72" s="485">
        <f t="shared" si="18"/>
        <v>2</v>
      </c>
      <c r="X72" s="488">
        <f t="shared" si="19"/>
        <v>0</v>
      </c>
      <c r="Y72" s="485"/>
    </row>
    <row r="73" spans="1:26" ht="17.25" customHeight="1" x14ac:dyDescent="0.3">
      <c r="A73" s="3" t="s">
        <v>198</v>
      </c>
      <c r="B73" s="446">
        <v>0</v>
      </c>
      <c r="C73" s="447">
        <v>139225</v>
      </c>
      <c r="D73" s="457"/>
      <c r="E73" s="458">
        <v>139225</v>
      </c>
      <c r="F73" s="463"/>
      <c r="G73" s="493" t="s">
        <v>289</v>
      </c>
      <c r="H73" s="493" t="s">
        <v>289</v>
      </c>
      <c r="I73" s="493" t="s">
        <v>289</v>
      </c>
      <c r="J73" s="493" t="s">
        <v>289</v>
      </c>
      <c r="K73" s="495">
        <v>1</v>
      </c>
      <c r="L73" s="495">
        <v>1</v>
      </c>
      <c r="M73" s="495">
        <v>1</v>
      </c>
      <c r="N73" s="495">
        <v>1</v>
      </c>
      <c r="O73" s="461">
        <f t="shared" si="14"/>
        <v>0</v>
      </c>
      <c r="P73" s="355">
        <f t="shared" si="12"/>
        <v>0</v>
      </c>
      <c r="Q73" s="355">
        <v>1</v>
      </c>
      <c r="R73" s="2">
        <f t="shared" si="15"/>
        <v>4350</v>
      </c>
      <c r="S73" s="515">
        <f t="shared" si="16"/>
        <v>4350</v>
      </c>
      <c r="T73" s="483">
        <f t="shared" si="13"/>
        <v>0</v>
      </c>
      <c r="U73" s="487" t="s">
        <v>198</v>
      </c>
      <c r="V73" s="485">
        <f t="shared" si="17"/>
        <v>5</v>
      </c>
      <c r="W73" s="485">
        <f t="shared" si="18"/>
        <v>5</v>
      </c>
      <c r="X73" s="488">
        <f t="shared" si="19"/>
        <v>0</v>
      </c>
      <c r="Y73" s="485"/>
    </row>
    <row r="74" spans="1:26" ht="17.25" customHeight="1" x14ac:dyDescent="0.3">
      <c r="A74" s="451" t="s">
        <v>185</v>
      </c>
      <c r="B74" s="452">
        <v>2765581.64</v>
      </c>
      <c r="C74" s="1">
        <f>SUM(C3:C73)</f>
        <v>20061824.600000001</v>
      </c>
      <c r="D74" s="1">
        <f>SUM(D3:D73)</f>
        <v>1801831.1399999997</v>
      </c>
      <c r="E74" s="1">
        <f>SUM(E3:E73)</f>
        <v>19769838.949999999</v>
      </c>
      <c r="F74" s="462">
        <f>SUM(F3:F73)</f>
        <v>179668.5</v>
      </c>
      <c r="G74" s="462"/>
      <c r="H74" s="462"/>
      <c r="I74" s="462"/>
      <c r="J74" s="462"/>
      <c r="K74" s="462"/>
      <c r="L74" s="462"/>
      <c r="M74" s="462"/>
      <c r="N74" s="462"/>
      <c r="O74" s="462"/>
      <c r="P74" s="462">
        <f>SUM(P3:P73)</f>
        <v>126</v>
      </c>
      <c r="Q74" s="462">
        <f>SUM(Q3:Q73)</f>
        <v>43</v>
      </c>
      <c r="S74" s="516">
        <f>SUM(S3:S73)</f>
        <v>-462050.49999999988</v>
      </c>
      <c r="T74" s="1">
        <f>SUM(T3:T73)</f>
        <v>-291985.65000000002</v>
      </c>
      <c r="U74" s="485"/>
      <c r="V74" s="485">
        <f>SUM(V3:V73)</f>
        <v>721</v>
      </c>
      <c r="W74" s="485">
        <f>SUM(W3:W73)</f>
        <v>710</v>
      </c>
      <c r="X74" s="488">
        <f t="shared" si="19"/>
        <v>-291985.65000000224</v>
      </c>
      <c r="Y74" s="488"/>
      <c r="Z74" s="1"/>
    </row>
    <row r="75" spans="1:26" ht="17.25" customHeight="1" x14ac:dyDescent="0.3">
      <c r="T75" s="1">
        <f>SUM(S74:T74)</f>
        <v>-754036.14999999991</v>
      </c>
    </row>
    <row r="76" spans="1:26" ht="17.25" customHeight="1" x14ac:dyDescent="0.3">
      <c r="C76" s="1">
        <f>C74+14420.4</f>
        <v>20076245</v>
      </c>
      <c r="D76" s="1"/>
      <c r="E76">
        <f>E74/B1</f>
        <v>709.99601185131974</v>
      </c>
      <c r="S76" s="1"/>
    </row>
    <row r="77" spans="1:26" ht="17.25" customHeight="1" thickBot="1" x14ac:dyDescent="0.35">
      <c r="F77" s="362">
        <v>182570</v>
      </c>
      <c r="P77" s="362" t="s">
        <v>227</v>
      </c>
      <c r="T77" s="1"/>
    </row>
    <row r="78" spans="1:26" ht="17.25" customHeight="1" x14ac:dyDescent="0.3">
      <c r="F78" s="462">
        <f>F77-F74</f>
        <v>2901.5</v>
      </c>
      <c r="G78" s="462"/>
      <c r="H78" s="462"/>
      <c r="I78" s="462"/>
      <c r="J78" s="462"/>
      <c r="K78" s="462"/>
      <c r="L78" s="462"/>
      <c r="M78" s="462"/>
      <c r="N78" s="462"/>
      <c r="O78" s="462"/>
      <c r="T78" s="479">
        <v>291985.65000000002</v>
      </c>
    </row>
    <row r="79" spans="1:26" ht="17.25" customHeight="1" x14ac:dyDescent="0.3">
      <c r="C79">
        <f>C74/B1</f>
        <v>720.48211887232901</v>
      </c>
      <c r="T79" s="480">
        <v>220978.02</v>
      </c>
    </row>
    <row r="80" spans="1:26" ht="17.25" customHeight="1" thickBot="1" x14ac:dyDescent="0.35">
      <c r="C80">
        <v>14420.4</v>
      </c>
      <c r="D80" t="s">
        <v>225</v>
      </c>
      <c r="T80" s="481">
        <f>SUM(T78:T79)</f>
        <v>512963.67000000004</v>
      </c>
    </row>
    <row r="82" spans="2:3" ht="17.25" customHeight="1" x14ac:dyDescent="0.3">
      <c r="B82" s="1"/>
      <c r="C82" s="1"/>
    </row>
  </sheetData>
  <autoFilter ref="A2:T76" xr:uid="{00000000-0009-0000-0000-00000E000000}"/>
  <sortState xmlns:xlrd2="http://schemas.microsoft.com/office/spreadsheetml/2017/richdata2" ref="A3:R72">
    <sortCondition ref="A3:A72"/>
  </sortState>
  <pageMargins left="0.70866141732283472" right="0.70866141732283472" top="0.74803149606299213" bottom="0.74803149606299213" header="0.31496062992125984" footer="0.31496062992125984"/>
  <pageSetup paperSize="9" scale="36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74"/>
  <sheetViews>
    <sheetView topLeftCell="A37" zoomScale="71" zoomScaleNormal="71" workbookViewId="0">
      <selection activeCell="B44" sqref="A44:XFD44"/>
    </sheetView>
  </sheetViews>
  <sheetFormatPr defaultRowHeight="25.8" x14ac:dyDescent="0.35"/>
  <cols>
    <col min="1" max="1" width="21" style="494" customWidth="1"/>
    <col min="2" max="5" width="35.6640625" customWidth="1"/>
    <col min="6" max="6" width="7" style="495" customWidth="1"/>
    <col min="7" max="9" width="9.109375" style="495"/>
    <col min="10" max="10" width="9.109375" style="496"/>
  </cols>
  <sheetData>
    <row r="1" spans="1:11" x14ac:dyDescent="0.35">
      <c r="A1" s="490" t="s">
        <v>230</v>
      </c>
    </row>
    <row r="2" spans="1:11" ht="30" customHeight="1" x14ac:dyDescent="0.35">
      <c r="A2" s="636" t="s">
        <v>231</v>
      </c>
      <c r="B2" s="637" t="s">
        <v>232</v>
      </c>
      <c r="C2" s="638"/>
      <c r="D2" s="638"/>
      <c r="E2" s="639"/>
    </row>
    <row r="3" spans="1:11" ht="26.25" customHeight="1" x14ac:dyDescent="0.35">
      <c r="A3" s="636"/>
      <c r="B3" s="491" t="s">
        <v>233</v>
      </c>
      <c r="C3" s="491" t="s">
        <v>234</v>
      </c>
      <c r="D3" s="491" t="s">
        <v>235</v>
      </c>
      <c r="E3" s="491" t="s">
        <v>236</v>
      </c>
      <c r="F3" s="491" t="s">
        <v>233</v>
      </c>
      <c r="G3" s="491" t="s">
        <v>234</v>
      </c>
      <c r="H3" s="491" t="s">
        <v>235</v>
      </c>
      <c r="I3" s="491" t="s">
        <v>236</v>
      </c>
    </row>
    <row r="4" spans="1:11" ht="123.75" customHeight="1" x14ac:dyDescent="0.35">
      <c r="A4" s="492">
        <v>13</v>
      </c>
      <c r="B4" s="493" t="s">
        <v>237</v>
      </c>
      <c r="C4" s="493" t="s">
        <v>237</v>
      </c>
      <c r="D4" s="493" t="s">
        <v>237</v>
      </c>
      <c r="E4" s="493" t="s">
        <v>237</v>
      </c>
      <c r="F4" s="495">
        <v>3</v>
      </c>
      <c r="G4" s="495">
        <v>3</v>
      </c>
      <c r="H4" s="495">
        <v>3</v>
      </c>
      <c r="I4" s="495">
        <v>3</v>
      </c>
    </row>
    <row r="5" spans="1:11" ht="117" customHeight="1" x14ac:dyDescent="0.3">
      <c r="A5" s="492">
        <v>14</v>
      </c>
      <c r="B5" s="493" t="s">
        <v>238</v>
      </c>
      <c r="C5" s="493" t="s">
        <v>238</v>
      </c>
      <c r="D5" s="493" t="s">
        <v>238</v>
      </c>
      <c r="E5" s="493" t="s">
        <v>238</v>
      </c>
      <c r="F5" s="495">
        <v>0</v>
      </c>
      <c r="G5" s="495">
        <v>0</v>
      </c>
      <c r="H5" s="495">
        <v>0</v>
      </c>
      <c r="I5" s="495">
        <v>0</v>
      </c>
      <c r="J5" s="495"/>
    </row>
    <row r="6" spans="1:11" ht="203.25" customHeight="1" x14ac:dyDescent="0.3">
      <c r="A6" s="492">
        <v>17</v>
      </c>
      <c r="B6" s="493" t="s">
        <v>298</v>
      </c>
      <c r="C6" s="493" t="s">
        <v>299</v>
      </c>
      <c r="D6" s="493" t="s">
        <v>299</v>
      </c>
      <c r="E6" s="493" t="s">
        <v>299</v>
      </c>
      <c r="F6" s="495">
        <v>9</v>
      </c>
      <c r="G6" s="495">
        <v>6</v>
      </c>
      <c r="H6" s="495">
        <v>6</v>
      </c>
      <c r="I6" s="495">
        <v>6</v>
      </c>
      <c r="J6" s="495"/>
    </row>
    <row r="7" spans="1:11" ht="117" customHeight="1" x14ac:dyDescent="0.3">
      <c r="A7" s="492">
        <v>20</v>
      </c>
      <c r="B7" s="493" t="s">
        <v>239</v>
      </c>
      <c r="C7" s="493" t="s">
        <v>240</v>
      </c>
      <c r="D7" s="493" t="s">
        <v>239</v>
      </c>
      <c r="E7" s="493" t="s">
        <v>240</v>
      </c>
      <c r="F7" s="495">
        <v>3</v>
      </c>
      <c r="G7" s="495">
        <v>3</v>
      </c>
      <c r="H7" s="495">
        <v>3</v>
      </c>
      <c r="I7" s="495">
        <v>3</v>
      </c>
      <c r="J7" s="495"/>
    </row>
    <row r="8" spans="1:11" ht="117" customHeight="1" x14ac:dyDescent="0.3">
      <c r="A8" s="492">
        <v>23</v>
      </c>
      <c r="B8" s="493" t="s">
        <v>241</v>
      </c>
      <c r="C8" s="493" t="s">
        <v>242</v>
      </c>
      <c r="D8" s="493" t="s">
        <v>241</v>
      </c>
      <c r="E8" s="493" t="s">
        <v>242</v>
      </c>
      <c r="F8" s="495">
        <v>0</v>
      </c>
      <c r="G8" s="495">
        <v>0</v>
      </c>
      <c r="H8" s="495">
        <v>0</v>
      </c>
      <c r="I8" s="495">
        <v>0</v>
      </c>
      <c r="J8" s="495"/>
      <c r="K8" s="495"/>
    </row>
    <row r="9" spans="1:11" ht="117" customHeight="1" x14ac:dyDescent="0.3">
      <c r="A9" s="492">
        <v>26</v>
      </c>
      <c r="B9" s="493" t="s">
        <v>295</v>
      </c>
      <c r="C9" s="493" t="s">
        <v>295</v>
      </c>
      <c r="D9" s="493" t="s">
        <v>295</v>
      </c>
      <c r="E9" s="493" t="s">
        <v>295</v>
      </c>
      <c r="F9" s="495">
        <v>2</v>
      </c>
      <c r="G9" s="495">
        <v>2</v>
      </c>
      <c r="H9" s="495">
        <v>2</v>
      </c>
      <c r="I9" s="495">
        <v>2</v>
      </c>
      <c r="J9" s="495"/>
    </row>
    <row r="10" spans="1:11" ht="117" customHeight="1" x14ac:dyDescent="0.3">
      <c r="A10" s="492">
        <v>34</v>
      </c>
      <c r="B10" s="493" t="s">
        <v>301</v>
      </c>
      <c r="C10" s="493" t="s">
        <v>301</v>
      </c>
      <c r="D10" s="493" t="s">
        <v>301</v>
      </c>
      <c r="E10" s="493" t="s">
        <v>301</v>
      </c>
      <c r="F10" s="495">
        <v>1</v>
      </c>
      <c r="G10" s="495">
        <v>1</v>
      </c>
      <c r="H10" s="495">
        <v>1</v>
      </c>
      <c r="I10" s="495">
        <v>1</v>
      </c>
      <c r="J10" s="495"/>
    </row>
    <row r="11" spans="1:11" ht="117" customHeight="1" x14ac:dyDescent="0.3">
      <c r="A11" s="492">
        <v>39</v>
      </c>
      <c r="B11" s="493" t="s">
        <v>243</v>
      </c>
      <c r="C11" s="493" t="s">
        <v>243</v>
      </c>
      <c r="D11" s="493" t="s">
        <v>243</v>
      </c>
      <c r="E11" s="493" t="s">
        <v>243</v>
      </c>
      <c r="F11" s="495">
        <v>1</v>
      </c>
      <c r="G11" s="495">
        <v>1</v>
      </c>
      <c r="H11" s="495">
        <v>1</v>
      </c>
      <c r="I11" s="495">
        <v>1</v>
      </c>
      <c r="J11" s="495"/>
    </row>
    <row r="12" spans="1:11" ht="117" customHeight="1" x14ac:dyDescent="0.3">
      <c r="A12" s="492">
        <v>268</v>
      </c>
      <c r="B12" s="493" t="s">
        <v>244</v>
      </c>
      <c r="C12" s="493" t="s">
        <v>244</v>
      </c>
      <c r="D12" s="493" t="s">
        <v>244</v>
      </c>
      <c r="E12" s="493" t="s">
        <v>244</v>
      </c>
      <c r="F12" s="495">
        <v>1</v>
      </c>
      <c r="G12" s="495">
        <v>1</v>
      </c>
      <c r="H12" s="495">
        <v>1</v>
      </c>
      <c r="I12" s="495">
        <v>1</v>
      </c>
      <c r="J12" s="495"/>
    </row>
    <row r="13" spans="1:11" ht="117" customHeight="1" x14ac:dyDescent="0.3">
      <c r="A13" s="492">
        <v>323</v>
      </c>
      <c r="B13" s="493" t="s">
        <v>310</v>
      </c>
      <c r="C13" s="493" t="s">
        <v>310</v>
      </c>
      <c r="D13" s="493" t="s">
        <v>310</v>
      </c>
      <c r="E13" s="493" t="s">
        <v>310</v>
      </c>
      <c r="F13" s="495">
        <v>1</v>
      </c>
      <c r="G13" s="495">
        <v>1</v>
      </c>
      <c r="H13" s="495">
        <v>1</v>
      </c>
      <c r="I13" s="495">
        <v>1</v>
      </c>
      <c r="J13" s="495"/>
    </row>
    <row r="14" spans="1:11" ht="117" customHeight="1" x14ac:dyDescent="0.3">
      <c r="A14" s="492">
        <v>326</v>
      </c>
      <c r="B14" s="493" t="s">
        <v>245</v>
      </c>
      <c r="C14" s="493" t="s">
        <v>246</v>
      </c>
      <c r="D14" s="493" t="s">
        <v>246</v>
      </c>
      <c r="E14" s="493" t="s">
        <v>246</v>
      </c>
      <c r="F14" s="495">
        <v>0</v>
      </c>
      <c r="G14" s="495">
        <v>0</v>
      </c>
      <c r="H14" s="495">
        <v>0</v>
      </c>
      <c r="I14" s="495">
        <v>0</v>
      </c>
      <c r="J14" s="495"/>
    </row>
    <row r="15" spans="1:11" ht="145.5" customHeight="1" x14ac:dyDescent="0.3">
      <c r="A15" s="492">
        <v>327</v>
      </c>
      <c r="B15" s="493" t="s">
        <v>304</v>
      </c>
      <c r="C15" s="493" t="s">
        <v>303</v>
      </c>
      <c r="D15" s="493" t="s">
        <v>303</v>
      </c>
      <c r="E15" s="493" t="s">
        <v>303</v>
      </c>
      <c r="F15" s="495">
        <v>3</v>
      </c>
      <c r="G15" s="495">
        <v>4</v>
      </c>
      <c r="H15" s="495">
        <v>4</v>
      </c>
      <c r="I15" s="495">
        <v>4</v>
      </c>
      <c r="J15" s="495"/>
    </row>
    <row r="16" spans="1:11" ht="117" customHeight="1" x14ac:dyDescent="0.35">
      <c r="A16" s="492">
        <v>328</v>
      </c>
      <c r="B16" s="493" t="s">
        <v>302</v>
      </c>
      <c r="C16" s="493" t="s">
        <v>302</v>
      </c>
      <c r="D16" s="493" t="s">
        <v>302</v>
      </c>
      <c r="E16" s="493" t="s">
        <v>302</v>
      </c>
      <c r="F16" s="495">
        <v>1</v>
      </c>
      <c r="G16" s="495">
        <v>1</v>
      </c>
      <c r="H16" s="495">
        <v>1</v>
      </c>
      <c r="I16" s="495">
        <v>1</v>
      </c>
    </row>
    <row r="17" spans="1:9" ht="117" customHeight="1" x14ac:dyDescent="0.35">
      <c r="A17" s="492">
        <v>329</v>
      </c>
      <c r="B17" s="493" t="s">
        <v>238</v>
      </c>
      <c r="C17" s="493" t="s">
        <v>238</v>
      </c>
      <c r="D17" s="493" t="s">
        <v>238</v>
      </c>
      <c r="E17" s="493" t="s">
        <v>238</v>
      </c>
      <c r="F17" s="495">
        <v>0</v>
      </c>
      <c r="G17" s="495">
        <v>0</v>
      </c>
      <c r="H17" s="495">
        <v>0</v>
      </c>
      <c r="I17" s="495">
        <v>0</v>
      </c>
    </row>
    <row r="18" spans="1:9" ht="117" customHeight="1" x14ac:dyDescent="0.35">
      <c r="A18" s="492">
        <v>330</v>
      </c>
      <c r="B18" s="493" t="s">
        <v>248</v>
      </c>
      <c r="C18" s="493" t="s">
        <v>248</v>
      </c>
      <c r="D18" s="493" t="s">
        <v>248</v>
      </c>
      <c r="E18" s="493" t="s">
        <v>248</v>
      </c>
      <c r="F18" s="495">
        <v>1</v>
      </c>
      <c r="G18" s="495">
        <v>1</v>
      </c>
      <c r="H18" s="495">
        <v>1</v>
      </c>
      <c r="I18" s="495">
        <v>1</v>
      </c>
    </row>
    <row r="19" spans="1:9" ht="117" customHeight="1" x14ac:dyDescent="0.35">
      <c r="A19" s="492">
        <v>331</v>
      </c>
      <c r="B19" s="493" t="s">
        <v>249</v>
      </c>
      <c r="C19" s="493" t="s">
        <v>249</v>
      </c>
      <c r="D19" s="493" t="s">
        <v>249</v>
      </c>
      <c r="E19" s="493" t="s">
        <v>249</v>
      </c>
      <c r="F19" s="495">
        <v>1</v>
      </c>
      <c r="G19" s="495">
        <v>1</v>
      </c>
      <c r="H19" s="495">
        <v>1</v>
      </c>
      <c r="I19" s="495">
        <v>1</v>
      </c>
    </row>
    <row r="20" spans="1:9" ht="117" customHeight="1" x14ac:dyDescent="0.35">
      <c r="A20" s="492">
        <v>332</v>
      </c>
      <c r="B20" s="493" t="s">
        <v>300</v>
      </c>
      <c r="C20" s="493" t="s">
        <v>300</v>
      </c>
      <c r="D20" s="493" t="s">
        <v>300</v>
      </c>
      <c r="E20" s="493" t="s">
        <v>300</v>
      </c>
      <c r="F20" s="495">
        <v>1</v>
      </c>
      <c r="G20" s="495">
        <v>1</v>
      </c>
      <c r="H20" s="495">
        <v>1</v>
      </c>
      <c r="I20" s="495">
        <v>1</v>
      </c>
    </row>
    <row r="21" spans="1:9" ht="117" customHeight="1" x14ac:dyDescent="0.35">
      <c r="A21" s="492">
        <v>333</v>
      </c>
      <c r="B21" s="493" t="s">
        <v>251</v>
      </c>
      <c r="C21" s="493" t="s">
        <v>238</v>
      </c>
      <c r="D21" s="493" t="s">
        <v>238</v>
      </c>
      <c r="E21" s="493" t="s">
        <v>238</v>
      </c>
      <c r="F21" s="495">
        <v>0</v>
      </c>
      <c r="G21" s="495">
        <v>0</v>
      </c>
      <c r="H21" s="495">
        <v>0</v>
      </c>
      <c r="I21" s="495">
        <v>0</v>
      </c>
    </row>
    <row r="22" spans="1:9" ht="117" customHeight="1" x14ac:dyDescent="0.35">
      <c r="A22" s="492">
        <v>334</v>
      </c>
      <c r="B22" s="493" t="s">
        <v>252</v>
      </c>
      <c r="C22" s="493" t="s">
        <v>252</v>
      </c>
      <c r="D22" s="493" t="s">
        <v>252</v>
      </c>
      <c r="E22" s="493" t="s">
        <v>252</v>
      </c>
      <c r="F22" s="495">
        <v>2</v>
      </c>
      <c r="G22" s="495">
        <v>2</v>
      </c>
      <c r="H22" s="495">
        <v>2</v>
      </c>
      <c r="I22" s="495">
        <v>2</v>
      </c>
    </row>
    <row r="23" spans="1:9" ht="117" customHeight="1" x14ac:dyDescent="0.35">
      <c r="A23" s="492">
        <v>336</v>
      </c>
      <c r="B23" s="493" t="s">
        <v>253</v>
      </c>
      <c r="C23" s="493" t="s">
        <v>254</v>
      </c>
      <c r="D23" s="493" t="s">
        <v>254</v>
      </c>
      <c r="E23" s="493" t="s">
        <v>254</v>
      </c>
      <c r="F23" s="495">
        <v>1</v>
      </c>
      <c r="G23" s="495">
        <v>1</v>
      </c>
      <c r="H23" s="495">
        <v>1</v>
      </c>
      <c r="I23" s="495">
        <v>1</v>
      </c>
    </row>
    <row r="24" spans="1:9" ht="117" customHeight="1" x14ac:dyDescent="0.35">
      <c r="A24" s="492">
        <v>337</v>
      </c>
      <c r="B24" s="493" t="s">
        <v>320</v>
      </c>
      <c r="C24" s="493" t="s">
        <v>320</v>
      </c>
      <c r="D24" s="493" t="s">
        <v>320</v>
      </c>
      <c r="E24" s="493" t="s">
        <v>320</v>
      </c>
      <c r="F24" s="495">
        <v>3</v>
      </c>
      <c r="G24" s="495">
        <v>3</v>
      </c>
      <c r="H24" s="495">
        <v>3</v>
      </c>
      <c r="I24" s="495">
        <v>3</v>
      </c>
    </row>
    <row r="25" spans="1:9" ht="117" customHeight="1" x14ac:dyDescent="0.35">
      <c r="A25" s="492">
        <v>338</v>
      </c>
      <c r="B25" s="493" t="s">
        <v>255</v>
      </c>
      <c r="C25" s="493" t="s">
        <v>256</v>
      </c>
      <c r="D25" s="493" t="s">
        <v>256</v>
      </c>
      <c r="E25" s="493" t="s">
        <v>256</v>
      </c>
      <c r="F25" s="495">
        <v>4</v>
      </c>
      <c r="G25" s="495">
        <v>3</v>
      </c>
      <c r="H25" s="495">
        <v>3</v>
      </c>
      <c r="I25" s="495">
        <v>3</v>
      </c>
    </row>
    <row r="26" spans="1:9" ht="117" customHeight="1" x14ac:dyDescent="0.35">
      <c r="A26" s="492">
        <v>339</v>
      </c>
      <c r="B26" s="493" t="s">
        <v>257</v>
      </c>
      <c r="C26" s="493" t="s">
        <v>257</v>
      </c>
      <c r="D26" s="493" t="s">
        <v>257</v>
      </c>
      <c r="E26" s="493" t="s">
        <v>257</v>
      </c>
      <c r="F26" s="495">
        <v>3</v>
      </c>
      <c r="G26" s="495">
        <v>3</v>
      </c>
      <c r="H26" s="495">
        <v>3</v>
      </c>
      <c r="I26" s="495">
        <v>3</v>
      </c>
    </row>
    <row r="27" spans="1:9" ht="117" customHeight="1" x14ac:dyDescent="0.35">
      <c r="A27" s="492">
        <v>340</v>
      </c>
      <c r="B27" s="498"/>
      <c r="C27" s="498"/>
      <c r="D27" s="498"/>
      <c r="E27" s="498"/>
      <c r="F27" s="495">
        <v>0</v>
      </c>
      <c r="G27" s="495">
        <v>0</v>
      </c>
      <c r="H27" s="495">
        <v>0</v>
      </c>
      <c r="I27" s="495">
        <v>0</v>
      </c>
    </row>
    <row r="28" spans="1:9" ht="126.75" customHeight="1" x14ac:dyDescent="0.35">
      <c r="A28" s="492">
        <v>341</v>
      </c>
      <c r="B28" s="493" t="s">
        <v>291</v>
      </c>
      <c r="C28" s="493" t="s">
        <v>292</v>
      </c>
      <c r="D28" s="493" t="s">
        <v>292</v>
      </c>
      <c r="E28" s="493" t="s">
        <v>292</v>
      </c>
      <c r="F28" s="495">
        <v>5</v>
      </c>
      <c r="G28" s="495">
        <v>3</v>
      </c>
      <c r="H28" s="495">
        <v>3</v>
      </c>
      <c r="I28" s="495">
        <v>3</v>
      </c>
    </row>
    <row r="29" spans="1:9" ht="117" customHeight="1" x14ac:dyDescent="0.35">
      <c r="A29" s="492">
        <v>342</v>
      </c>
      <c r="B29" s="493" t="s">
        <v>315</v>
      </c>
      <c r="C29" s="493" t="s">
        <v>315</v>
      </c>
      <c r="D29" s="493" t="s">
        <v>315</v>
      </c>
      <c r="E29" s="493" t="s">
        <v>315</v>
      </c>
      <c r="F29" s="495">
        <v>1</v>
      </c>
      <c r="G29" s="495">
        <v>1</v>
      </c>
      <c r="H29" s="495">
        <v>1</v>
      </c>
      <c r="I29" s="495">
        <v>1</v>
      </c>
    </row>
    <row r="30" spans="1:9" ht="117" customHeight="1" x14ac:dyDescent="0.35">
      <c r="A30" s="492">
        <v>343</v>
      </c>
      <c r="B30" s="493" t="s">
        <v>238</v>
      </c>
      <c r="C30" s="493" t="s">
        <v>238</v>
      </c>
      <c r="D30" s="493" t="s">
        <v>238</v>
      </c>
      <c r="E30" s="493" t="s">
        <v>238</v>
      </c>
      <c r="F30" s="495">
        <v>0</v>
      </c>
      <c r="G30" s="495">
        <v>0</v>
      </c>
      <c r="H30" s="495">
        <v>0</v>
      </c>
      <c r="I30" s="495">
        <v>0</v>
      </c>
    </row>
    <row r="31" spans="1:9" ht="117" customHeight="1" x14ac:dyDescent="0.35">
      <c r="A31" s="492">
        <v>344</v>
      </c>
      <c r="B31" s="493" t="s">
        <v>258</v>
      </c>
      <c r="C31" s="493" t="s">
        <v>259</v>
      </c>
      <c r="D31" s="493" t="s">
        <v>260</v>
      </c>
      <c r="E31" s="493" t="s">
        <v>259</v>
      </c>
      <c r="F31" s="495">
        <v>3</v>
      </c>
      <c r="G31" s="495">
        <v>3</v>
      </c>
      <c r="H31" s="495">
        <v>3</v>
      </c>
      <c r="I31" s="495">
        <v>3</v>
      </c>
    </row>
    <row r="32" spans="1:9" ht="117" customHeight="1" x14ac:dyDescent="0.35">
      <c r="A32" s="492">
        <v>345</v>
      </c>
      <c r="B32" s="493" t="s">
        <v>261</v>
      </c>
      <c r="C32" s="493" t="s">
        <v>261</v>
      </c>
      <c r="D32" s="493" t="s">
        <v>261</v>
      </c>
      <c r="E32" s="493" t="s">
        <v>261</v>
      </c>
      <c r="F32" s="495">
        <v>1</v>
      </c>
      <c r="G32" s="495">
        <v>1</v>
      </c>
      <c r="H32" s="495">
        <v>1</v>
      </c>
      <c r="I32" s="495">
        <v>1</v>
      </c>
    </row>
    <row r="33" spans="1:9" ht="117" customHeight="1" x14ac:dyDescent="0.35">
      <c r="A33" s="492">
        <v>346</v>
      </c>
      <c r="B33" s="493" t="s">
        <v>238</v>
      </c>
      <c r="C33" s="493" t="s">
        <v>238</v>
      </c>
      <c r="D33" s="493" t="s">
        <v>238</v>
      </c>
      <c r="E33" s="493" t="s">
        <v>238</v>
      </c>
      <c r="F33" s="495">
        <v>0</v>
      </c>
      <c r="G33" s="495">
        <v>0</v>
      </c>
      <c r="H33" s="495">
        <v>0</v>
      </c>
      <c r="I33" s="495">
        <v>0</v>
      </c>
    </row>
    <row r="34" spans="1:9" ht="117" customHeight="1" x14ac:dyDescent="0.35">
      <c r="A34" s="492">
        <v>347</v>
      </c>
      <c r="B34" s="493" t="s">
        <v>238</v>
      </c>
      <c r="C34" s="493" t="s">
        <v>238</v>
      </c>
      <c r="D34" s="493" t="s">
        <v>238</v>
      </c>
      <c r="E34" s="493" t="s">
        <v>238</v>
      </c>
      <c r="F34" s="495">
        <v>0</v>
      </c>
      <c r="G34" s="495">
        <v>0</v>
      </c>
      <c r="H34" s="495">
        <v>0</v>
      </c>
      <c r="I34" s="495">
        <v>0</v>
      </c>
    </row>
    <row r="35" spans="1:9" ht="117" customHeight="1" x14ac:dyDescent="0.35">
      <c r="A35" s="492">
        <v>348</v>
      </c>
      <c r="B35" s="493" t="s">
        <v>262</v>
      </c>
      <c r="C35" s="493" t="s">
        <v>262</v>
      </c>
      <c r="D35" s="493" t="s">
        <v>262</v>
      </c>
      <c r="E35" s="493" t="s">
        <v>262</v>
      </c>
      <c r="F35" s="495">
        <v>2</v>
      </c>
      <c r="G35" s="495">
        <v>2</v>
      </c>
      <c r="H35" s="495">
        <v>2</v>
      </c>
      <c r="I35" s="495">
        <v>2</v>
      </c>
    </row>
    <row r="36" spans="1:9" ht="117" customHeight="1" x14ac:dyDescent="0.35">
      <c r="A36" s="492">
        <v>350</v>
      </c>
      <c r="B36" s="493" t="s">
        <v>263</v>
      </c>
      <c r="C36" s="493" t="s">
        <v>263</v>
      </c>
      <c r="D36" s="493" t="s">
        <v>263</v>
      </c>
      <c r="E36" s="493" t="s">
        <v>263</v>
      </c>
      <c r="F36" s="495">
        <v>1</v>
      </c>
      <c r="G36" s="495">
        <v>1</v>
      </c>
      <c r="H36" s="495">
        <v>1</v>
      </c>
      <c r="I36" s="495">
        <v>1</v>
      </c>
    </row>
    <row r="37" spans="1:9" ht="117" customHeight="1" x14ac:dyDescent="0.35">
      <c r="A37" s="492">
        <v>458</v>
      </c>
      <c r="B37" s="493" t="s">
        <v>264</v>
      </c>
      <c r="C37" s="493" t="s">
        <v>264</v>
      </c>
      <c r="D37" s="493" t="s">
        <v>264</v>
      </c>
      <c r="E37" s="493" t="s">
        <v>264</v>
      </c>
      <c r="F37" s="495">
        <v>1</v>
      </c>
      <c r="G37" s="495">
        <v>1</v>
      </c>
      <c r="H37" s="495">
        <v>1</v>
      </c>
      <c r="I37" s="495">
        <v>1</v>
      </c>
    </row>
    <row r="38" spans="1:9" ht="117" customHeight="1" x14ac:dyDescent="0.35">
      <c r="A38" s="492">
        <v>497</v>
      </c>
      <c r="B38" s="493" t="s">
        <v>265</v>
      </c>
      <c r="C38" s="493" t="s">
        <v>266</v>
      </c>
      <c r="D38" s="493" t="s">
        <v>266</v>
      </c>
      <c r="E38" s="493" t="s">
        <v>266</v>
      </c>
      <c r="F38" s="495">
        <v>2</v>
      </c>
      <c r="G38" s="495">
        <v>2</v>
      </c>
      <c r="H38" s="495">
        <v>2</v>
      </c>
      <c r="I38" s="495">
        <v>2</v>
      </c>
    </row>
    <row r="39" spans="1:9" ht="117" customHeight="1" x14ac:dyDescent="0.35">
      <c r="A39" s="492">
        <v>498</v>
      </c>
      <c r="B39" s="493" t="s">
        <v>319</v>
      </c>
      <c r="C39" s="493" t="s">
        <v>319</v>
      </c>
      <c r="D39" s="493" t="s">
        <v>319</v>
      </c>
      <c r="E39" s="493" t="s">
        <v>319</v>
      </c>
      <c r="F39" s="495">
        <v>1</v>
      </c>
      <c r="G39" s="495">
        <v>1</v>
      </c>
      <c r="H39" s="495">
        <v>1</v>
      </c>
      <c r="I39" s="495">
        <v>1</v>
      </c>
    </row>
    <row r="40" spans="1:9" ht="117" customHeight="1" x14ac:dyDescent="0.35">
      <c r="A40" s="492">
        <v>512</v>
      </c>
      <c r="B40" s="493" t="s">
        <v>267</v>
      </c>
      <c r="C40" s="493" t="s">
        <v>267</v>
      </c>
      <c r="D40" s="493" t="s">
        <v>267</v>
      </c>
      <c r="E40" s="493" t="s">
        <v>267</v>
      </c>
      <c r="F40" s="495">
        <v>1</v>
      </c>
      <c r="G40" s="495">
        <v>1</v>
      </c>
      <c r="H40" s="495">
        <v>1</v>
      </c>
      <c r="I40" s="495">
        <v>1</v>
      </c>
    </row>
    <row r="41" spans="1:9" ht="135.75" customHeight="1" x14ac:dyDescent="0.35">
      <c r="A41" s="492">
        <v>513</v>
      </c>
      <c r="B41" s="493" t="s">
        <v>268</v>
      </c>
      <c r="C41" s="493" t="s">
        <v>269</v>
      </c>
      <c r="D41" s="493" t="s">
        <v>269</v>
      </c>
      <c r="E41" s="493" t="s">
        <v>269</v>
      </c>
      <c r="F41" s="495">
        <v>4</v>
      </c>
      <c r="G41" s="495">
        <v>3</v>
      </c>
      <c r="H41" s="495">
        <v>3</v>
      </c>
      <c r="I41" s="495">
        <v>3</v>
      </c>
    </row>
    <row r="42" spans="1:9" ht="126.75" customHeight="1" x14ac:dyDescent="0.35">
      <c r="A42" s="492">
        <v>516</v>
      </c>
      <c r="B42" s="493" t="s">
        <v>270</v>
      </c>
      <c r="C42" s="493" t="s">
        <v>270</v>
      </c>
      <c r="D42" s="493" t="s">
        <v>270</v>
      </c>
      <c r="E42" s="493" t="s">
        <v>271</v>
      </c>
      <c r="F42" s="495">
        <v>4</v>
      </c>
      <c r="G42" s="495">
        <v>4</v>
      </c>
      <c r="H42" s="495">
        <v>4</v>
      </c>
      <c r="I42" s="495">
        <v>3</v>
      </c>
    </row>
    <row r="43" spans="1:9" ht="117" customHeight="1" x14ac:dyDescent="0.35">
      <c r="A43" s="492">
        <v>527</v>
      </c>
      <c r="B43" s="493" t="s">
        <v>305</v>
      </c>
      <c r="C43" s="493" t="s">
        <v>305</v>
      </c>
      <c r="D43" s="493" t="s">
        <v>305</v>
      </c>
      <c r="E43" s="493" t="s">
        <v>305</v>
      </c>
      <c r="F43" s="495">
        <v>1</v>
      </c>
      <c r="G43" s="495">
        <v>1</v>
      </c>
      <c r="H43" s="495">
        <v>1</v>
      </c>
      <c r="I43" s="495">
        <v>1</v>
      </c>
    </row>
    <row r="44" spans="1:9" ht="117" customHeight="1" x14ac:dyDescent="0.35">
      <c r="A44" s="492">
        <v>528</v>
      </c>
      <c r="B44" s="493" t="s">
        <v>312</v>
      </c>
      <c r="C44" s="493" t="s">
        <v>312</v>
      </c>
      <c r="D44" s="493" t="s">
        <v>312</v>
      </c>
      <c r="E44" s="493" t="s">
        <v>312</v>
      </c>
      <c r="F44" s="495">
        <v>2</v>
      </c>
      <c r="G44" s="495">
        <v>2</v>
      </c>
      <c r="H44" s="495">
        <v>2</v>
      </c>
      <c r="I44" s="495">
        <v>2</v>
      </c>
    </row>
    <row r="45" spans="1:9" ht="117" customHeight="1" x14ac:dyDescent="0.35">
      <c r="A45" s="492">
        <v>557</v>
      </c>
      <c r="B45" s="493" t="s">
        <v>272</v>
      </c>
      <c r="C45" s="493" t="s">
        <v>273</v>
      </c>
      <c r="D45" s="493" t="s">
        <v>273</v>
      </c>
      <c r="E45" s="493" t="s">
        <v>273</v>
      </c>
      <c r="F45" s="495">
        <v>1</v>
      </c>
      <c r="G45" s="495">
        <v>1</v>
      </c>
      <c r="H45" s="495">
        <v>1</v>
      </c>
      <c r="I45" s="495">
        <v>1</v>
      </c>
    </row>
    <row r="46" spans="1:9" ht="117" customHeight="1" x14ac:dyDescent="0.35">
      <c r="A46" s="492">
        <v>569</v>
      </c>
      <c r="B46" s="493" t="s">
        <v>316</v>
      </c>
      <c r="C46" s="493" t="s">
        <v>316</v>
      </c>
      <c r="D46" s="493" t="s">
        <v>316</v>
      </c>
      <c r="E46" s="493" t="s">
        <v>316</v>
      </c>
      <c r="F46" s="495">
        <v>1</v>
      </c>
      <c r="G46" s="495">
        <v>1</v>
      </c>
      <c r="H46" s="495">
        <v>1</v>
      </c>
      <c r="I46" s="495">
        <v>1</v>
      </c>
    </row>
    <row r="47" spans="1:9" ht="117" customHeight="1" x14ac:dyDescent="0.35">
      <c r="A47" s="492">
        <v>570</v>
      </c>
      <c r="B47" s="493" t="s">
        <v>238</v>
      </c>
      <c r="C47" s="493" t="s">
        <v>238</v>
      </c>
      <c r="D47" s="493" t="s">
        <v>238</v>
      </c>
      <c r="E47" s="493" t="s">
        <v>238</v>
      </c>
      <c r="F47" s="495">
        <v>0</v>
      </c>
      <c r="G47" s="495">
        <v>0</v>
      </c>
      <c r="H47" s="495">
        <v>0</v>
      </c>
      <c r="I47" s="495">
        <v>0</v>
      </c>
    </row>
    <row r="48" spans="1:9" ht="117" customHeight="1" x14ac:dyDescent="0.35">
      <c r="A48" s="492">
        <v>571</v>
      </c>
      <c r="B48" s="493" t="s">
        <v>297</v>
      </c>
      <c r="C48" s="493" t="s">
        <v>297</v>
      </c>
      <c r="D48" s="493" t="s">
        <v>297</v>
      </c>
      <c r="E48" s="493" t="s">
        <v>297</v>
      </c>
      <c r="F48" s="495">
        <v>1</v>
      </c>
      <c r="G48" s="495">
        <v>1</v>
      </c>
      <c r="H48" s="495">
        <v>1</v>
      </c>
      <c r="I48" s="495">
        <v>1</v>
      </c>
    </row>
    <row r="49" spans="1:9" ht="117" customHeight="1" x14ac:dyDescent="0.35">
      <c r="A49" s="492">
        <v>572</v>
      </c>
      <c r="B49" s="493" t="s">
        <v>296</v>
      </c>
      <c r="C49" s="493" t="s">
        <v>296</v>
      </c>
      <c r="D49" s="493" t="s">
        <v>296</v>
      </c>
      <c r="E49" s="493" t="s">
        <v>296</v>
      </c>
      <c r="F49" s="495">
        <v>4</v>
      </c>
      <c r="G49" s="495">
        <v>4</v>
      </c>
      <c r="H49" s="495">
        <v>4</v>
      </c>
      <c r="I49" s="495">
        <v>4</v>
      </c>
    </row>
    <row r="50" spans="1:9" ht="162.75" customHeight="1" x14ac:dyDescent="0.35">
      <c r="A50" s="492">
        <v>574</v>
      </c>
      <c r="B50" s="493" t="s">
        <v>314</v>
      </c>
      <c r="C50" s="493" t="s">
        <v>314</v>
      </c>
      <c r="D50" s="493" t="s">
        <v>314</v>
      </c>
      <c r="E50" s="493" t="s">
        <v>314</v>
      </c>
      <c r="F50" s="495">
        <v>7</v>
      </c>
      <c r="G50" s="495">
        <v>7</v>
      </c>
      <c r="H50" s="495">
        <v>7</v>
      </c>
      <c r="I50" s="495">
        <v>7</v>
      </c>
    </row>
    <row r="51" spans="1:9" ht="117" customHeight="1" x14ac:dyDescent="0.35">
      <c r="A51" s="492">
        <v>591</v>
      </c>
      <c r="B51" s="493" t="s">
        <v>238</v>
      </c>
      <c r="C51" s="493" t="s">
        <v>238</v>
      </c>
      <c r="D51" s="493" t="s">
        <v>238</v>
      </c>
      <c r="E51" s="493" t="s">
        <v>238</v>
      </c>
      <c r="F51" s="495">
        <v>0</v>
      </c>
      <c r="G51" s="495">
        <v>0</v>
      </c>
      <c r="H51" s="495">
        <v>0</v>
      </c>
      <c r="I51" s="495">
        <v>0</v>
      </c>
    </row>
    <row r="52" spans="1:9" ht="117" customHeight="1" x14ac:dyDescent="0.35">
      <c r="A52" s="492">
        <v>592</v>
      </c>
      <c r="B52" s="493" t="s">
        <v>238</v>
      </c>
      <c r="C52" s="493" t="s">
        <v>238</v>
      </c>
      <c r="D52" s="493" t="s">
        <v>238</v>
      </c>
      <c r="E52" s="493" t="s">
        <v>238</v>
      </c>
      <c r="F52" s="495">
        <v>0</v>
      </c>
      <c r="G52" s="495">
        <v>0</v>
      </c>
      <c r="H52" s="495">
        <v>0</v>
      </c>
      <c r="I52" s="495">
        <v>0</v>
      </c>
    </row>
    <row r="53" spans="1:9" ht="117" customHeight="1" x14ac:dyDescent="0.35">
      <c r="A53" s="492">
        <v>593</v>
      </c>
      <c r="B53" s="493" t="s">
        <v>238</v>
      </c>
      <c r="C53" s="493" t="s">
        <v>238</v>
      </c>
      <c r="D53" s="493" t="s">
        <v>238</v>
      </c>
      <c r="E53" s="493" t="s">
        <v>238</v>
      </c>
      <c r="F53" s="495">
        <v>0</v>
      </c>
      <c r="G53" s="495">
        <v>0</v>
      </c>
      <c r="H53" s="495">
        <v>0</v>
      </c>
      <c r="I53" s="495">
        <v>0</v>
      </c>
    </row>
    <row r="54" spans="1:9" ht="117" customHeight="1" x14ac:dyDescent="0.35">
      <c r="A54" s="492">
        <v>625</v>
      </c>
      <c r="B54" s="493" t="s">
        <v>313</v>
      </c>
      <c r="C54" s="493" t="s">
        <v>313</v>
      </c>
      <c r="D54" s="493" t="s">
        <v>313</v>
      </c>
      <c r="E54" s="493" t="s">
        <v>313</v>
      </c>
      <c r="F54" s="495">
        <v>3</v>
      </c>
      <c r="G54" s="495">
        <v>3</v>
      </c>
      <c r="H54" s="495">
        <v>3</v>
      </c>
      <c r="I54" s="495">
        <v>3</v>
      </c>
    </row>
    <row r="55" spans="1:9" ht="117" customHeight="1" x14ac:dyDescent="0.35">
      <c r="A55" s="492">
        <v>627</v>
      </c>
      <c r="B55" s="493" t="s">
        <v>238</v>
      </c>
      <c r="C55" s="493" t="s">
        <v>238</v>
      </c>
      <c r="D55" s="493" t="s">
        <v>238</v>
      </c>
      <c r="E55" s="493" t="s">
        <v>238</v>
      </c>
      <c r="F55" s="495">
        <v>0</v>
      </c>
      <c r="G55" s="495">
        <v>0</v>
      </c>
      <c r="H55" s="495">
        <v>0</v>
      </c>
      <c r="I55" s="495">
        <v>0</v>
      </c>
    </row>
    <row r="56" spans="1:9" ht="117" customHeight="1" x14ac:dyDescent="0.35">
      <c r="A56" s="492">
        <v>639</v>
      </c>
      <c r="B56" s="493" t="s">
        <v>307</v>
      </c>
      <c r="C56" s="493" t="s">
        <v>307</v>
      </c>
      <c r="D56" s="493" t="s">
        <v>307</v>
      </c>
      <c r="E56" s="493" t="s">
        <v>307</v>
      </c>
      <c r="F56" s="495">
        <v>2</v>
      </c>
      <c r="G56" s="495">
        <v>2</v>
      </c>
      <c r="H56" s="495">
        <v>2</v>
      </c>
      <c r="I56" s="495">
        <v>2</v>
      </c>
    </row>
    <row r="57" spans="1:9" ht="117" customHeight="1" x14ac:dyDescent="0.35">
      <c r="A57" s="492">
        <v>641</v>
      </c>
      <c r="B57" s="493" t="s">
        <v>274</v>
      </c>
      <c r="C57" s="493" t="s">
        <v>274</v>
      </c>
      <c r="D57" s="493" t="s">
        <v>274</v>
      </c>
      <c r="E57" s="493" t="s">
        <v>274</v>
      </c>
      <c r="F57" s="495">
        <v>1</v>
      </c>
      <c r="G57" s="495">
        <v>1</v>
      </c>
      <c r="H57" s="495">
        <v>1</v>
      </c>
      <c r="I57" s="495">
        <v>1</v>
      </c>
    </row>
    <row r="58" spans="1:9" ht="117" customHeight="1" x14ac:dyDescent="0.35">
      <c r="A58" s="492">
        <v>667</v>
      </c>
      <c r="B58" s="493" t="s">
        <v>238</v>
      </c>
      <c r="C58" s="493" t="s">
        <v>238</v>
      </c>
      <c r="D58" s="493" t="s">
        <v>238</v>
      </c>
      <c r="E58" s="493" t="s">
        <v>238</v>
      </c>
      <c r="F58" s="495">
        <v>0</v>
      </c>
      <c r="G58" s="495">
        <v>0</v>
      </c>
      <c r="H58" s="495">
        <v>0</v>
      </c>
      <c r="I58" s="495">
        <v>0</v>
      </c>
    </row>
    <row r="59" spans="1:9" ht="117" customHeight="1" x14ac:dyDescent="0.35">
      <c r="A59" s="492">
        <v>689</v>
      </c>
      <c r="B59" s="493" t="s">
        <v>308</v>
      </c>
      <c r="C59" s="493" t="s">
        <v>308</v>
      </c>
      <c r="D59" s="493" t="s">
        <v>308</v>
      </c>
      <c r="E59" s="493" t="s">
        <v>308</v>
      </c>
      <c r="F59" s="495">
        <v>3</v>
      </c>
      <c r="G59" s="495">
        <v>3</v>
      </c>
      <c r="H59" s="495">
        <v>3</v>
      </c>
      <c r="I59" s="495">
        <v>3</v>
      </c>
    </row>
    <row r="60" spans="1:9" ht="117" customHeight="1" x14ac:dyDescent="0.35">
      <c r="A60" s="492">
        <v>690</v>
      </c>
      <c r="B60" s="493" t="s">
        <v>290</v>
      </c>
      <c r="C60" s="493" t="s">
        <v>290</v>
      </c>
      <c r="D60" s="493" t="s">
        <v>290</v>
      </c>
      <c r="E60" s="493" t="s">
        <v>290</v>
      </c>
      <c r="F60" s="495">
        <v>1</v>
      </c>
      <c r="G60" s="495">
        <v>1</v>
      </c>
      <c r="H60" s="495">
        <v>1</v>
      </c>
      <c r="I60" s="495">
        <v>1</v>
      </c>
    </row>
    <row r="61" spans="1:9" ht="135" customHeight="1" x14ac:dyDescent="0.35">
      <c r="A61" s="492">
        <v>691</v>
      </c>
      <c r="B61" s="498" t="s">
        <v>321</v>
      </c>
      <c r="C61" s="498" t="s">
        <v>321</v>
      </c>
      <c r="D61" s="498" t="s">
        <v>321</v>
      </c>
      <c r="E61" s="498" t="s">
        <v>321</v>
      </c>
      <c r="F61" s="495">
        <v>4</v>
      </c>
      <c r="G61" s="495">
        <v>4</v>
      </c>
      <c r="H61" s="495">
        <v>4</v>
      </c>
      <c r="I61" s="495">
        <v>4</v>
      </c>
    </row>
    <row r="62" spans="1:9" ht="117" customHeight="1" x14ac:dyDescent="0.35">
      <c r="A62" s="492" t="s">
        <v>68</v>
      </c>
      <c r="B62" s="493" t="s">
        <v>317</v>
      </c>
      <c r="C62" s="493" t="s">
        <v>317</v>
      </c>
      <c r="D62" s="493" t="s">
        <v>317</v>
      </c>
      <c r="E62" s="493" t="s">
        <v>317</v>
      </c>
      <c r="F62" s="495">
        <v>1</v>
      </c>
      <c r="G62" s="495">
        <v>1</v>
      </c>
      <c r="H62" s="495">
        <v>1</v>
      </c>
      <c r="I62" s="495">
        <v>1</v>
      </c>
    </row>
    <row r="63" spans="1:9" ht="117" customHeight="1" x14ac:dyDescent="0.35">
      <c r="A63" s="492" t="s">
        <v>195</v>
      </c>
      <c r="B63" s="493" t="s">
        <v>238</v>
      </c>
      <c r="C63" s="493" t="s">
        <v>238</v>
      </c>
      <c r="D63" s="493" t="s">
        <v>238</v>
      </c>
      <c r="E63" s="493" t="s">
        <v>238</v>
      </c>
      <c r="F63" s="495">
        <v>0</v>
      </c>
      <c r="G63" s="495">
        <v>0</v>
      </c>
      <c r="H63" s="495">
        <v>0</v>
      </c>
      <c r="I63" s="495">
        <v>0</v>
      </c>
    </row>
    <row r="64" spans="1:9" ht="159" customHeight="1" x14ac:dyDescent="0.35">
      <c r="A64" s="492" t="s">
        <v>194</v>
      </c>
      <c r="B64" s="493" t="s">
        <v>294</v>
      </c>
      <c r="C64" s="493" t="s">
        <v>294</v>
      </c>
      <c r="D64" s="493" t="s">
        <v>294</v>
      </c>
      <c r="E64" s="493" t="s">
        <v>294</v>
      </c>
      <c r="F64" s="495">
        <v>6</v>
      </c>
      <c r="G64" s="495">
        <v>6</v>
      </c>
      <c r="H64" s="495">
        <v>6</v>
      </c>
      <c r="I64" s="495">
        <v>6</v>
      </c>
    </row>
    <row r="65" spans="1:9" ht="117" customHeight="1" x14ac:dyDescent="0.35">
      <c r="A65" s="492" t="s">
        <v>192</v>
      </c>
      <c r="B65" s="493" t="s">
        <v>275</v>
      </c>
      <c r="C65" s="493" t="s">
        <v>276</v>
      </c>
      <c r="D65" s="493" t="s">
        <v>276</v>
      </c>
      <c r="E65" s="493" t="s">
        <v>276</v>
      </c>
      <c r="F65" s="495">
        <v>2</v>
      </c>
      <c r="G65" s="495">
        <v>1</v>
      </c>
      <c r="H65" s="495">
        <v>1</v>
      </c>
      <c r="I65" s="495">
        <v>1</v>
      </c>
    </row>
    <row r="66" spans="1:9" ht="117" customHeight="1" x14ac:dyDescent="0.35">
      <c r="A66" s="497" t="s">
        <v>193</v>
      </c>
      <c r="B66" s="493" t="s">
        <v>293</v>
      </c>
      <c r="C66" s="493" t="s">
        <v>293</v>
      </c>
      <c r="D66" s="493" t="s">
        <v>293</v>
      </c>
      <c r="E66" s="493" t="s">
        <v>293</v>
      </c>
      <c r="F66" s="495">
        <v>2</v>
      </c>
      <c r="G66" s="495">
        <v>2</v>
      </c>
      <c r="H66" s="495">
        <v>2</v>
      </c>
      <c r="I66" s="495">
        <v>2</v>
      </c>
    </row>
    <row r="67" spans="1:9" ht="117" customHeight="1" x14ac:dyDescent="0.35">
      <c r="A67" s="492" t="s">
        <v>196</v>
      </c>
      <c r="B67" s="493" t="s">
        <v>277</v>
      </c>
      <c r="C67" s="493" t="s">
        <v>278</v>
      </c>
      <c r="D67" s="493" t="s">
        <v>278</v>
      </c>
      <c r="E67" s="493" t="s">
        <v>278</v>
      </c>
      <c r="F67" s="495">
        <v>1</v>
      </c>
      <c r="G67" s="495">
        <v>1</v>
      </c>
      <c r="H67" s="495">
        <v>1</v>
      </c>
      <c r="I67" s="495">
        <v>1</v>
      </c>
    </row>
    <row r="68" spans="1:9" ht="117" customHeight="1" x14ac:dyDescent="0.35">
      <c r="A68" s="492" t="s">
        <v>279</v>
      </c>
      <c r="B68" s="493" t="s">
        <v>280</v>
      </c>
      <c r="C68" s="493" t="s">
        <v>281</v>
      </c>
      <c r="D68" s="493" t="s">
        <v>281</v>
      </c>
      <c r="E68" s="493" t="s">
        <v>281</v>
      </c>
      <c r="F68" s="495">
        <v>1</v>
      </c>
      <c r="G68" s="495">
        <v>1</v>
      </c>
      <c r="H68" s="495">
        <v>1</v>
      </c>
      <c r="I68" s="495">
        <v>1</v>
      </c>
    </row>
    <row r="69" spans="1:9" ht="117" customHeight="1" x14ac:dyDescent="0.35">
      <c r="A69" s="492" t="s">
        <v>197</v>
      </c>
      <c r="B69" s="493" t="s">
        <v>282</v>
      </c>
      <c r="C69" s="493" t="s">
        <v>283</v>
      </c>
      <c r="D69" s="493" t="s">
        <v>282</v>
      </c>
      <c r="E69" s="493" t="s">
        <v>282</v>
      </c>
      <c r="F69" s="495">
        <v>1</v>
      </c>
      <c r="G69" s="495">
        <v>1</v>
      </c>
      <c r="H69" s="495">
        <v>1</v>
      </c>
      <c r="I69" s="495">
        <v>1</v>
      </c>
    </row>
    <row r="70" spans="1:9" ht="117" customHeight="1" x14ac:dyDescent="0.35">
      <c r="A70" s="492" t="s">
        <v>119</v>
      </c>
      <c r="B70" s="493" t="s">
        <v>247</v>
      </c>
      <c r="C70" s="493" t="s">
        <v>250</v>
      </c>
      <c r="D70" s="493" t="s">
        <v>245</v>
      </c>
      <c r="E70" s="493" t="s">
        <v>246</v>
      </c>
      <c r="F70" s="495">
        <v>0</v>
      </c>
      <c r="G70" s="495">
        <v>0</v>
      </c>
      <c r="H70" s="495">
        <v>0</v>
      </c>
      <c r="I70" s="495">
        <v>0</v>
      </c>
    </row>
    <row r="71" spans="1:9" ht="117" customHeight="1" x14ac:dyDescent="0.35">
      <c r="A71" s="492" t="s">
        <v>74</v>
      </c>
      <c r="B71" s="493" t="s">
        <v>284</v>
      </c>
      <c r="C71" s="493" t="s">
        <v>284</v>
      </c>
      <c r="D71" s="493" t="s">
        <v>285</v>
      </c>
      <c r="E71" s="493" t="s">
        <v>284</v>
      </c>
      <c r="F71" s="495">
        <v>3</v>
      </c>
      <c r="G71" s="495">
        <v>3</v>
      </c>
      <c r="H71" s="495">
        <v>3</v>
      </c>
      <c r="I71" s="495">
        <v>3</v>
      </c>
    </row>
    <row r="72" spans="1:9" ht="117" customHeight="1" x14ac:dyDescent="0.35">
      <c r="A72" s="492" t="s">
        <v>75</v>
      </c>
      <c r="B72" s="493" t="s">
        <v>286</v>
      </c>
      <c r="C72" s="493" t="s">
        <v>286</v>
      </c>
      <c r="D72" s="493" t="s">
        <v>286</v>
      </c>
      <c r="E72" s="493" t="s">
        <v>286</v>
      </c>
      <c r="F72" s="495">
        <v>1</v>
      </c>
      <c r="G72" s="495">
        <v>1</v>
      </c>
      <c r="H72" s="495">
        <v>1</v>
      </c>
      <c r="I72" s="495">
        <v>1</v>
      </c>
    </row>
    <row r="73" spans="1:9" ht="117" customHeight="1" x14ac:dyDescent="0.35">
      <c r="A73" s="492" t="s">
        <v>70</v>
      </c>
      <c r="B73" s="493" t="s">
        <v>287</v>
      </c>
      <c r="C73" s="493" t="s">
        <v>287</v>
      </c>
      <c r="D73" s="493" t="s">
        <v>287</v>
      </c>
      <c r="E73" s="493" t="s">
        <v>288</v>
      </c>
      <c r="F73" s="495">
        <v>2</v>
      </c>
      <c r="G73" s="495">
        <v>2</v>
      </c>
      <c r="H73" s="495">
        <v>2</v>
      </c>
      <c r="I73" s="495">
        <v>2</v>
      </c>
    </row>
    <row r="74" spans="1:9" ht="117" customHeight="1" x14ac:dyDescent="0.35">
      <c r="A74" s="492" t="s">
        <v>198</v>
      </c>
      <c r="B74" s="493" t="s">
        <v>289</v>
      </c>
      <c r="C74" s="493" t="s">
        <v>289</v>
      </c>
      <c r="D74" s="493" t="s">
        <v>289</v>
      </c>
      <c r="E74" s="493" t="s">
        <v>289</v>
      </c>
      <c r="F74" s="495">
        <v>1</v>
      </c>
      <c r="G74" s="495">
        <v>1</v>
      </c>
      <c r="H74" s="495">
        <v>1</v>
      </c>
      <c r="I74" s="495">
        <v>1</v>
      </c>
    </row>
  </sheetData>
  <mergeCells count="2">
    <mergeCell ref="A2:A3"/>
    <mergeCell ref="B2:E2"/>
  </mergeCells>
  <printOptions horizontalCentered="1" verticalCentered="1"/>
  <pageMargins left="0" right="0" top="0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S87"/>
  <sheetViews>
    <sheetView topLeftCell="B10" zoomScaleNormal="100" workbookViewId="0">
      <selection activeCell="B44" sqref="A44:XFD44"/>
    </sheetView>
  </sheetViews>
  <sheetFormatPr defaultColWidth="8.33203125" defaultRowHeight="13.2" x14ac:dyDescent="0.25"/>
  <cols>
    <col min="1" max="1" width="3.33203125" style="21" hidden="1" customWidth="1"/>
    <col min="2" max="2" width="10" style="520" customWidth="1"/>
    <col min="3" max="3" width="11.88671875" style="522" customWidth="1"/>
    <col min="4" max="4" width="11.109375" style="522" customWidth="1"/>
    <col min="5" max="5" width="7.5546875" style="408" hidden="1" customWidth="1"/>
    <col min="6" max="6" width="8.5546875" style="520" bestFit="1" customWidth="1"/>
    <col min="7" max="7" width="8.109375" style="520" customWidth="1"/>
    <col min="8" max="8" width="8.109375" style="407" customWidth="1"/>
    <col min="9" max="9" width="12" style="443" customWidth="1"/>
    <col min="10" max="10" width="13.33203125" style="8" hidden="1" customWidth="1"/>
    <col min="11" max="11" width="13.44140625" style="552" customWidth="1"/>
    <col min="12" max="12" width="14.6640625" style="429" customWidth="1"/>
    <col min="13" max="13" width="13" style="7" hidden="1" customWidth="1"/>
    <col min="14" max="14" width="10.5546875" style="7" customWidth="1"/>
    <col min="15" max="15" width="10.6640625" style="522" customWidth="1"/>
    <col min="16" max="16" width="7.44140625" style="522" customWidth="1"/>
    <col min="17" max="17" width="12.33203125" style="7" customWidth="1"/>
    <col min="18" max="18" width="11.44140625" style="7" customWidth="1"/>
    <col min="19" max="19" width="8.6640625" style="7" bestFit="1" customWidth="1"/>
    <col min="20" max="16384" width="8.33203125" style="7"/>
  </cols>
  <sheetData>
    <row r="1" spans="1:19" ht="22.5" customHeight="1" x14ac:dyDescent="0.35">
      <c r="A1" s="180" t="s">
        <v>78</v>
      </c>
      <c r="B1" s="584" t="s">
        <v>340</v>
      </c>
      <c r="C1" s="585"/>
      <c r="D1" s="585"/>
      <c r="E1" s="585"/>
      <c r="F1" s="585"/>
      <c r="G1" s="585"/>
      <c r="P1" s="522" t="s">
        <v>336</v>
      </c>
    </row>
    <row r="2" spans="1:19" s="10" customFormat="1" ht="11.4" customHeight="1" thickBot="1" x14ac:dyDescent="0.35">
      <c r="A2" s="9"/>
      <c r="E2" s="12"/>
      <c r="G2" s="432" t="s">
        <v>80</v>
      </c>
      <c r="H2" s="439">
        <f>11610*2.5</f>
        <v>29025</v>
      </c>
      <c r="I2" s="444"/>
      <c r="J2" s="12" t="s">
        <v>181</v>
      </c>
      <c r="K2" s="11"/>
      <c r="L2" s="12" t="s">
        <v>180</v>
      </c>
      <c r="O2" s="10">
        <v>1450</v>
      </c>
      <c r="P2" s="10">
        <v>8</v>
      </c>
    </row>
    <row r="3" spans="1:19" s="10" customFormat="1" ht="61.95" customHeight="1" x14ac:dyDescent="0.3">
      <c r="A3" s="9"/>
      <c r="B3" s="578">
        <v>43574</v>
      </c>
      <c r="C3" s="582" t="s">
        <v>338</v>
      </c>
      <c r="D3" s="583"/>
      <c r="E3" s="534" t="s">
        <v>122</v>
      </c>
      <c r="F3" s="540" t="s">
        <v>177</v>
      </c>
      <c r="G3" s="541" t="s">
        <v>127</v>
      </c>
      <c r="H3" s="542" t="s">
        <v>83</v>
      </c>
      <c r="I3" s="543" t="s">
        <v>84</v>
      </c>
      <c r="J3" s="537" t="s">
        <v>179</v>
      </c>
      <c r="K3" s="553" t="s">
        <v>333</v>
      </c>
      <c r="L3" s="430" t="s">
        <v>183</v>
      </c>
      <c r="M3" s="521" t="s">
        <v>114</v>
      </c>
      <c r="N3" s="525" t="s">
        <v>332</v>
      </c>
      <c r="O3" s="528" t="s">
        <v>334</v>
      </c>
      <c r="P3" s="529" t="s">
        <v>335</v>
      </c>
      <c r="Q3" s="556" t="s">
        <v>140</v>
      </c>
      <c r="R3" s="525" t="s">
        <v>339</v>
      </c>
    </row>
    <row r="4" spans="1:19" ht="14.4" x14ac:dyDescent="0.3">
      <c r="A4" s="21" t="s">
        <v>9</v>
      </c>
      <c r="B4" s="558">
        <v>13</v>
      </c>
      <c r="C4" s="562"/>
      <c r="D4" s="563"/>
      <c r="E4" s="535">
        <v>4</v>
      </c>
      <c r="F4" s="544">
        <v>57</v>
      </c>
      <c r="G4" s="413">
        <v>9</v>
      </c>
      <c r="H4" s="22">
        <f>ROUNDUP(F4/5,0)</f>
        <v>12</v>
      </c>
      <c r="I4" s="545">
        <f>IF(G4&gt;H4,H4,G4)</f>
        <v>9</v>
      </c>
      <c r="J4" s="538">
        <f>E4*$I$2*12</f>
        <v>0</v>
      </c>
      <c r="K4" s="554">
        <v>361984</v>
      </c>
      <c r="L4" s="433">
        <f>I4*$H$2</f>
        <v>261225</v>
      </c>
      <c r="M4" s="433">
        <f>J4+L4</f>
        <v>261225</v>
      </c>
      <c r="N4" s="526">
        <v>10150</v>
      </c>
      <c r="O4" s="575">
        <v>2900</v>
      </c>
      <c r="P4" s="576">
        <f t="shared" ref="P4:P38" si="0">O4/$O$2</f>
        <v>2</v>
      </c>
      <c r="Q4" s="298">
        <f>(L4+N4+(P4*$P$2*$O$2))-K4</f>
        <v>-67409</v>
      </c>
      <c r="R4" s="530">
        <f>K4+C4+D4</f>
        <v>361984</v>
      </c>
      <c r="S4" s="7">
        <f>L4+N4+P4*O2*P2</f>
        <v>294575</v>
      </c>
    </row>
    <row r="5" spans="1:19" ht="14.4" x14ac:dyDescent="0.3">
      <c r="A5" s="21" t="s">
        <v>10</v>
      </c>
      <c r="B5" s="558">
        <v>14</v>
      </c>
      <c r="C5" s="562"/>
      <c r="D5" s="563"/>
      <c r="E5" s="535">
        <v>0</v>
      </c>
      <c r="F5" s="544">
        <v>50</v>
      </c>
      <c r="G5" s="413">
        <v>6</v>
      </c>
      <c r="H5" s="22">
        <f t="shared" ref="H5:H68" si="1">ROUNDUP(F5/5,0)</f>
        <v>10</v>
      </c>
      <c r="I5" s="545">
        <f t="shared" ref="I5:I66" si="2">IF(G5&gt;H5,H5,G5)</f>
        <v>6</v>
      </c>
      <c r="J5" s="538">
        <f t="shared" ref="J5:J68" si="3">E5*$I$2*12</f>
        <v>0</v>
      </c>
      <c r="K5" s="554">
        <v>202720</v>
      </c>
      <c r="L5" s="433">
        <f t="shared" ref="L5:L68" si="4">I5*$H$2</f>
        <v>174150</v>
      </c>
      <c r="M5" s="433">
        <f t="shared" ref="M5:M67" si="5">J5+L5</f>
        <v>174150</v>
      </c>
      <c r="N5" s="526"/>
      <c r="O5" s="575"/>
      <c r="P5" s="576">
        <f t="shared" si="0"/>
        <v>0</v>
      </c>
      <c r="Q5" s="298">
        <f t="shared" ref="Q5:Q68" si="6">(L5+N5+(P5*$P$2*$O$2))-K5</f>
        <v>-28570</v>
      </c>
      <c r="R5" s="530">
        <f t="shared" ref="R5:R68" si="7">K5+C5+D5</f>
        <v>202720</v>
      </c>
    </row>
    <row r="6" spans="1:19" ht="14.4" x14ac:dyDescent="0.3">
      <c r="A6" s="21" t="s">
        <v>44</v>
      </c>
      <c r="B6" s="558">
        <v>17</v>
      </c>
      <c r="C6" s="562"/>
      <c r="D6" s="563"/>
      <c r="E6" s="535">
        <v>3</v>
      </c>
      <c r="F6" s="544">
        <v>89</v>
      </c>
      <c r="G6" s="413">
        <v>12</v>
      </c>
      <c r="H6" s="22">
        <f t="shared" si="1"/>
        <v>18</v>
      </c>
      <c r="I6" s="545">
        <f t="shared" si="2"/>
        <v>12</v>
      </c>
      <c r="J6" s="538">
        <f t="shared" si="3"/>
        <v>0</v>
      </c>
      <c r="K6" s="554">
        <v>488688</v>
      </c>
      <c r="L6" s="433">
        <f>I6*$H$2</f>
        <v>348300</v>
      </c>
      <c r="M6" s="433">
        <f t="shared" si="5"/>
        <v>348300</v>
      </c>
      <c r="N6" s="526">
        <v>29209.09</v>
      </c>
      <c r="O6" s="575">
        <v>8700</v>
      </c>
      <c r="P6" s="576">
        <f t="shared" si="0"/>
        <v>6</v>
      </c>
      <c r="Q6" s="298">
        <f t="shared" si="6"/>
        <v>-41578.909999999974</v>
      </c>
      <c r="R6" s="530">
        <f t="shared" si="7"/>
        <v>488688</v>
      </c>
    </row>
    <row r="7" spans="1:19" ht="14.4" x14ac:dyDescent="0.3">
      <c r="A7" s="26" t="s">
        <v>6</v>
      </c>
      <c r="B7" s="558">
        <v>20</v>
      </c>
      <c r="C7" s="562"/>
      <c r="D7" s="563"/>
      <c r="E7" s="535">
        <v>4</v>
      </c>
      <c r="F7" s="544">
        <v>77</v>
      </c>
      <c r="G7" s="413">
        <v>11</v>
      </c>
      <c r="H7" s="22">
        <f t="shared" si="1"/>
        <v>16</v>
      </c>
      <c r="I7" s="545">
        <f t="shared" si="2"/>
        <v>11</v>
      </c>
      <c r="J7" s="538">
        <f t="shared" si="3"/>
        <v>0</v>
      </c>
      <c r="K7" s="554">
        <v>390944</v>
      </c>
      <c r="L7" s="433">
        <f t="shared" si="4"/>
        <v>319275</v>
      </c>
      <c r="M7" s="433">
        <f t="shared" si="5"/>
        <v>319275</v>
      </c>
      <c r="N7" s="526">
        <v>9267</v>
      </c>
      <c r="O7" s="575">
        <v>2900</v>
      </c>
      <c r="P7" s="576">
        <f t="shared" si="0"/>
        <v>2</v>
      </c>
      <c r="Q7" s="298">
        <f t="shared" si="6"/>
        <v>-39202</v>
      </c>
      <c r="R7" s="530">
        <f t="shared" si="7"/>
        <v>390944</v>
      </c>
    </row>
    <row r="8" spans="1:19" ht="14.4" x14ac:dyDescent="0.3">
      <c r="A8" s="21" t="s">
        <v>45</v>
      </c>
      <c r="B8" s="558">
        <v>23</v>
      </c>
      <c r="C8" s="562"/>
      <c r="D8" s="563"/>
      <c r="E8" s="535">
        <v>1</v>
      </c>
      <c r="F8" s="544">
        <v>67</v>
      </c>
      <c r="G8" s="413">
        <v>10</v>
      </c>
      <c r="H8" s="22">
        <f t="shared" si="1"/>
        <v>14</v>
      </c>
      <c r="I8" s="545">
        <f t="shared" si="2"/>
        <v>10</v>
      </c>
      <c r="J8" s="538">
        <f t="shared" si="3"/>
        <v>0</v>
      </c>
      <c r="K8" s="554">
        <v>365616</v>
      </c>
      <c r="L8" s="433">
        <f t="shared" si="4"/>
        <v>290250</v>
      </c>
      <c r="M8" s="433">
        <f t="shared" si="5"/>
        <v>290250</v>
      </c>
      <c r="N8" s="526">
        <v>11224</v>
      </c>
      <c r="O8" s="575">
        <v>2900</v>
      </c>
      <c r="P8" s="576">
        <f t="shared" si="0"/>
        <v>2</v>
      </c>
      <c r="Q8" s="298">
        <f t="shared" si="6"/>
        <v>-40942</v>
      </c>
      <c r="R8" s="530">
        <f t="shared" si="7"/>
        <v>365616</v>
      </c>
    </row>
    <row r="9" spans="1:19" ht="14.4" x14ac:dyDescent="0.3">
      <c r="A9" s="21" t="s">
        <v>11</v>
      </c>
      <c r="B9" s="558">
        <v>26</v>
      </c>
      <c r="C9" s="564">
        <f>Q9</f>
        <v>15155</v>
      </c>
      <c r="D9" s="565"/>
      <c r="E9" s="535">
        <v>2</v>
      </c>
      <c r="F9" s="544">
        <v>60</v>
      </c>
      <c r="G9" s="413">
        <v>15</v>
      </c>
      <c r="H9" s="22">
        <f t="shared" si="1"/>
        <v>12</v>
      </c>
      <c r="I9" s="545">
        <v>15</v>
      </c>
      <c r="J9" s="538">
        <f t="shared" si="3"/>
        <v>0</v>
      </c>
      <c r="K9" s="554">
        <v>470592</v>
      </c>
      <c r="L9" s="433">
        <f t="shared" si="4"/>
        <v>435375</v>
      </c>
      <c r="M9" s="433">
        <f t="shared" si="5"/>
        <v>435375</v>
      </c>
      <c r="N9" s="526">
        <v>15572</v>
      </c>
      <c r="O9" s="575">
        <v>4350</v>
      </c>
      <c r="P9" s="576">
        <f t="shared" si="0"/>
        <v>3</v>
      </c>
      <c r="Q9" s="298">
        <f t="shared" si="6"/>
        <v>15155</v>
      </c>
      <c r="R9" s="530">
        <f t="shared" si="7"/>
        <v>485747</v>
      </c>
      <c r="S9" s="37"/>
    </row>
    <row r="10" spans="1:19" ht="14.4" x14ac:dyDescent="0.3">
      <c r="A10" s="21" t="s">
        <v>46</v>
      </c>
      <c r="B10" s="558">
        <v>34</v>
      </c>
      <c r="C10" s="564">
        <f t="shared" ref="C10:C12" si="8">Q10</f>
        <v>63669</v>
      </c>
      <c r="D10" s="565"/>
      <c r="E10" s="535">
        <v>1</v>
      </c>
      <c r="F10" s="544">
        <v>90</v>
      </c>
      <c r="G10" s="413">
        <v>18</v>
      </c>
      <c r="H10" s="22">
        <f t="shared" si="1"/>
        <v>18</v>
      </c>
      <c r="I10" s="545">
        <f t="shared" si="2"/>
        <v>18</v>
      </c>
      <c r="J10" s="538">
        <f t="shared" si="3"/>
        <v>0</v>
      </c>
      <c r="K10" s="554">
        <v>510416</v>
      </c>
      <c r="L10" s="433">
        <f t="shared" si="4"/>
        <v>522450</v>
      </c>
      <c r="M10" s="433">
        <f t="shared" si="5"/>
        <v>522450</v>
      </c>
      <c r="N10" s="526">
        <v>16835</v>
      </c>
      <c r="O10" s="575">
        <v>4350</v>
      </c>
      <c r="P10" s="576">
        <f t="shared" si="0"/>
        <v>3</v>
      </c>
      <c r="Q10" s="298">
        <f t="shared" si="6"/>
        <v>63669</v>
      </c>
      <c r="R10" s="530">
        <f t="shared" si="7"/>
        <v>574085</v>
      </c>
    </row>
    <row r="11" spans="1:19" ht="14.4" x14ac:dyDescent="0.3">
      <c r="A11" s="21" t="s">
        <v>24</v>
      </c>
      <c r="B11" s="558">
        <v>39</v>
      </c>
      <c r="C11" s="564">
        <f t="shared" si="8"/>
        <v>56613</v>
      </c>
      <c r="D11" s="565"/>
      <c r="E11" s="535">
        <v>1</v>
      </c>
      <c r="F11" s="544">
        <v>49</v>
      </c>
      <c r="G11" s="413">
        <v>10</v>
      </c>
      <c r="H11" s="22">
        <f t="shared" si="1"/>
        <v>10</v>
      </c>
      <c r="I11" s="545">
        <f t="shared" si="2"/>
        <v>10</v>
      </c>
      <c r="J11" s="538">
        <f t="shared" si="3"/>
        <v>0</v>
      </c>
      <c r="K11" s="554">
        <v>249776</v>
      </c>
      <c r="L11" s="433">
        <f t="shared" si="4"/>
        <v>290250</v>
      </c>
      <c r="M11" s="433">
        <f t="shared" si="5"/>
        <v>290250</v>
      </c>
      <c r="N11" s="526">
        <v>4539</v>
      </c>
      <c r="O11" s="575">
        <v>1450</v>
      </c>
      <c r="P11" s="576">
        <f t="shared" si="0"/>
        <v>1</v>
      </c>
      <c r="Q11" s="298">
        <f t="shared" si="6"/>
        <v>56613</v>
      </c>
      <c r="R11" s="530">
        <f t="shared" si="7"/>
        <v>306389</v>
      </c>
    </row>
    <row r="12" spans="1:19" ht="14.4" x14ac:dyDescent="0.3">
      <c r="A12" s="21" t="s">
        <v>43</v>
      </c>
      <c r="B12" s="558">
        <v>268</v>
      </c>
      <c r="C12" s="564">
        <f t="shared" si="8"/>
        <v>103929</v>
      </c>
      <c r="D12" s="565"/>
      <c r="E12" s="535">
        <v>0</v>
      </c>
      <c r="F12" s="544">
        <v>51</v>
      </c>
      <c r="G12" s="413">
        <v>14</v>
      </c>
      <c r="H12" s="22">
        <f t="shared" si="1"/>
        <v>11</v>
      </c>
      <c r="I12" s="545">
        <v>14</v>
      </c>
      <c r="J12" s="538">
        <f t="shared" si="3"/>
        <v>0</v>
      </c>
      <c r="K12" s="554">
        <v>318560</v>
      </c>
      <c r="L12" s="433">
        <f t="shared" si="4"/>
        <v>406350</v>
      </c>
      <c r="M12" s="433">
        <f t="shared" si="5"/>
        <v>406350</v>
      </c>
      <c r="N12" s="526">
        <v>4539</v>
      </c>
      <c r="O12" s="575">
        <v>1450</v>
      </c>
      <c r="P12" s="576">
        <f t="shared" si="0"/>
        <v>1</v>
      </c>
      <c r="Q12" s="298">
        <f t="shared" si="6"/>
        <v>103929</v>
      </c>
      <c r="R12" s="530">
        <f t="shared" si="7"/>
        <v>422489</v>
      </c>
    </row>
    <row r="13" spans="1:19" ht="14.4" x14ac:dyDescent="0.3">
      <c r="A13" s="21" t="s">
        <v>5</v>
      </c>
      <c r="B13" s="558">
        <v>323</v>
      </c>
      <c r="C13" s="562"/>
      <c r="D13" s="563"/>
      <c r="E13" s="535">
        <v>3</v>
      </c>
      <c r="F13" s="544">
        <v>67</v>
      </c>
      <c r="G13" s="413">
        <v>18</v>
      </c>
      <c r="H13" s="22">
        <f t="shared" si="1"/>
        <v>14</v>
      </c>
      <c r="I13" s="545">
        <f t="shared" si="2"/>
        <v>14</v>
      </c>
      <c r="J13" s="538">
        <f t="shared" si="3"/>
        <v>0</v>
      </c>
      <c r="K13" s="554">
        <v>517648</v>
      </c>
      <c r="L13" s="433">
        <f t="shared" si="4"/>
        <v>406350</v>
      </c>
      <c r="M13" s="433">
        <f>J13+L13</f>
        <v>406350</v>
      </c>
      <c r="N13" s="526">
        <v>26100</v>
      </c>
      <c r="O13" s="575">
        <v>5800</v>
      </c>
      <c r="P13" s="576">
        <f t="shared" si="0"/>
        <v>4</v>
      </c>
      <c r="Q13" s="298">
        <f t="shared" si="6"/>
        <v>-38798</v>
      </c>
      <c r="R13" s="530">
        <f t="shared" si="7"/>
        <v>517648</v>
      </c>
    </row>
    <row r="14" spans="1:19" ht="14.4" x14ac:dyDescent="0.3">
      <c r="A14" s="21" t="s">
        <v>39</v>
      </c>
      <c r="B14" s="558">
        <v>326</v>
      </c>
      <c r="C14" s="562"/>
      <c r="D14" s="563"/>
      <c r="E14" s="535">
        <v>0</v>
      </c>
      <c r="F14" s="544">
        <v>39</v>
      </c>
      <c r="G14" s="413">
        <v>10</v>
      </c>
      <c r="H14" s="22">
        <f t="shared" si="1"/>
        <v>8</v>
      </c>
      <c r="I14" s="545">
        <f t="shared" si="2"/>
        <v>8</v>
      </c>
      <c r="J14" s="538">
        <f t="shared" si="3"/>
        <v>0</v>
      </c>
      <c r="K14" s="554">
        <v>260640</v>
      </c>
      <c r="L14" s="433">
        <f t="shared" si="4"/>
        <v>232200</v>
      </c>
      <c r="M14" s="433">
        <f t="shared" si="5"/>
        <v>232200</v>
      </c>
      <c r="N14" s="526">
        <v>5612</v>
      </c>
      <c r="O14" s="575">
        <v>1450</v>
      </c>
      <c r="P14" s="576">
        <f t="shared" si="0"/>
        <v>1</v>
      </c>
      <c r="Q14" s="298">
        <f t="shared" si="6"/>
        <v>-11228</v>
      </c>
      <c r="R14" s="530">
        <f t="shared" si="7"/>
        <v>260640</v>
      </c>
    </row>
    <row r="15" spans="1:19" ht="14.4" x14ac:dyDescent="0.3">
      <c r="A15" s="21" t="s">
        <v>12</v>
      </c>
      <c r="B15" s="558">
        <v>327</v>
      </c>
      <c r="C15" s="564">
        <f t="shared" ref="C15" si="9">Q15</f>
        <v>52214</v>
      </c>
      <c r="D15" s="565"/>
      <c r="E15" s="535">
        <v>0</v>
      </c>
      <c r="F15" s="544">
        <v>67</v>
      </c>
      <c r="G15" s="413">
        <v>8</v>
      </c>
      <c r="H15" s="22">
        <f t="shared" si="1"/>
        <v>14</v>
      </c>
      <c r="I15" s="545">
        <f t="shared" si="2"/>
        <v>8</v>
      </c>
      <c r="J15" s="538">
        <f t="shared" si="3"/>
        <v>0</v>
      </c>
      <c r="K15" s="554">
        <v>231680</v>
      </c>
      <c r="L15" s="433">
        <f t="shared" si="4"/>
        <v>232200</v>
      </c>
      <c r="M15" s="433">
        <f t="shared" si="5"/>
        <v>232200</v>
      </c>
      <c r="N15" s="526">
        <v>16894</v>
      </c>
      <c r="O15" s="575">
        <v>4350</v>
      </c>
      <c r="P15" s="576">
        <f t="shared" si="0"/>
        <v>3</v>
      </c>
      <c r="Q15" s="298">
        <f t="shared" si="6"/>
        <v>52214</v>
      </c>
      <c r="R15" s="530">
        <f t="shared" si="7"/>
        <v>283894</v>
      </c>
    </row>
    <row r="16" spans="1:19" ht="14.4" x14ac:dyDescent="0.3">
      <c r="A16" s="21" t="s">
        <v>13</v>
      </c>
      <c r="B16" s="558">
        <v>328</v>
      </c>
      <c r="C16" s="562"/>
      <c r="D16" s="563"/>
      <c r="E16" s="535">
        <v>0</v>
      </c>
      <c r="F16" s="544">
        <v>62</v>
      </c>
      <c r="G16" s="413">
        <v>9</v>
      </c>
      <c r="H16" s="22">
        <f t="shared" si="1"/>
        <v>13</v>
      </c>
      <c r="I16" s="545">
        <f t="shared" si="2"/>
        <v>9</v>
      </c>
      <c r="J16" s="538">
        <f t="shared" si="3"/>
        <v>0</v>
      </c>
      <c r="K16" s="554">
        <v>376480</v>
      </c>
      <c r="L16" s="433">
        <f t="shared" si="4"/>
        <v>261225</v>
      </c>
      <c r="M16" s="433">
        <f t="shared" si="5"/>
        <v>261225</v>
      </c>
      <c r="N16" s="526">
        <v>5800</v>
      </c>
      <c r="O16" s="575">
        <v>1450</v>
      </c>
      <c r="P16" s="576">
        <f t="shared" si="0"/>
        <v>1</v>
      </c>
      <c r="Q16" s="298">
        <f t="shared" si="6"/>
        <v>-97855</v>
      </c>
      <c r="R16" s="530">
        <f t="shared" si="7"/>
        <v>376480</v>
      </c>
    </row>
    <row r="17" spans="1:18" ht="14.4" x14ac:dyDescent="0.3">
      <c r="A17" s="21" t="s">
        <v>14</v>
      </c>
      <c r="B17" s="558">
        <v>329</v>
      </c>
      <c r="C17" s="564">
        <f t="shared" ref="C17:C18" si="10">Q17</f>
        <v>845</v>
      </c>
      <c r="D17" s="565"/>
      <c r="E17" s="535">
        <v>0</v>
      </c>
      <c r="F17" s="546">
        <v>61</v>
      </c>
      <c r="G17" s="415">
        <v>15</v>
      </c>
      <c r="H17" s="22">
        <f t="shared" si="1"/>
        <v>13</v>
      </c>
      <c r="I17" s="545">
        <f t="shared" si="2"/>
        <v>13</v>
      </c>
      <c r="J17" s="538">
        <f t="shared" si="3"/>
        <v>0</v>
      </c>
      <c r="K17" s="554">
        <v>376480</v>
      </c>
      <c r="L17" s="433">
        <f t="shared" si="4"/>
        <v>377325</v>
      </c>
      <c r="M17" s="433">
        <f t="shared" si="5"/>
        <v>377325</v>
      </c>
      <c r="N17" s="526"/>
      <c r="O17" s="575"/>
      <c r="P17" s="576">
        <f t="shared" si="0"/>
        <v>0</v>
      </c>
      <c r="Q17" s="298">
        <f t="shared" si="6"/>
        <v>845</v>
      </c>
      <c r="R17" s="530">
        <f t="shared" si="7"/>
        <v>377325</v>
      </c>
    </row>
    <row r="18" spans="1:18" ht="14.4" x14ac:dyDescent="0.3">
      <c r="A18" s="21" t="s">
        <v>47</v>
      </c>
      <c r="B18" s="558">
        <v>330</v>
      </c>
      <c r="C18" s="564">
        <f t="shared" si="10"/>
        <v>69629</v>
      </c>
      <c r="D18" s="565"/>
      <c r="E18" s="535">
        <v>1</v>
      </c>
      <c r="F18" s="544">
        <v>57</v>
      </c>
      <c r="G18" s="413">
        <v>13</v>
      </c>
      <c r="H18" s="22">
        <f t="shared" si="1"/>
        <v>12</v>
      </c>
      <c r="I18" s="545">
        <v>13</v>
      </c>
      <c r="J18" s="538">
        <f t="shared" si="3"/>
        <v>0</v>
      </c>
      <c r="K18" s="554">
        <v>307696</v>
      </c>
      <c r="L18" s="433">
        <f t="shared" si="4"/>
        <v>377325</v>
      </c>
      <c r="M18" s="433">
        <f t="shared" si="5"/>
        <v>377325</v>
      </c>
      <c r="N18" s="526"/>
      <c r="O18" s="575"/>
      <c r="P18" s="576">
        <f t="shared" si="0"/>
        <v>0</v>
      </c>
      <c r="Q18" s="298">
        <f t="shared" si="6"/>
        <v>69629</v>
      </c>
      <c r="R18" s="530">
        <f t="shared" si="7"/>
        <v>377325</v>
      </c>
    </row>
    <row r="19" spans="1:18" ht="14.4" x14ac:dyDescent="0.3">
      <c r="A19" s="21" t="s">
        <v>48</v>
      </c>
      <c r="B19" s="558">
        <v>331</v>
      </c>
      <c r="C19" s="562"/>
      <c r="D19" s="563"/>
      <c r="E19" s="535">
        <v>1</v>
      </c>
      <c r="F19" s="544">
        <v>40</v>
      </c>
      <c r="G19" s="413">
        <v>7</v>
      </c>
      <c r="H19" s="22">
        <f t="shared" si="1"/>
        <v>8</v>
      </c>
      <c r="I19" s="545">
        <f t="shared" si="2"/>
        <v>7</v>
      </c>
      <c r="J19" s="538">
        <f t="shared" si="3"/>
        <v>0</v>
      </c>
      <c r="K19" s="554">
        <v>249776</v>
      </c>
      <c r="L19" s="433">
        <f t="shared" si="4"/>
        <v>203175</v>
      </c>
      <c r="M19" s="433">
        <f t="shared" si="5"/>
        <v>203175</v>
      </c>
      <c r="N19" s="526">
        <v>4539</v>
      </c>
      <c r="O19" s="575">
        <v>1450</v>
      </c>
      <c r="P19" s="576">
        <f t="shared" si="0"/>
        <v>1</v>
      </c>
      <c r="Q19" s="298">
        <f t="shared" si="6"/>
        <v>-30462</v>
      </c>
      <c r="R19" s="530">
        <f t="shared" si="7"/>
        <v>249776</v>
      </c>
    </row>
    <row r="20" spans="1:18" ht="14.4" x14ac:dyDescent="0.3">
      <c r="A20" s="21" t="s">
        <v>0</v>
      </c>
      <c r="B20" s="558">
        <v>332</v>
      </c>
      <c r="C20" s="562"/>
      <c r="D20" s="563"/>
      <c r="E20" s="535">
        <v>1</v>
      </c>
      <c r="F20" s="544">
        <v>66</v>
      </c>
      <c r="G20" s="413">
        <v>10</v>
      </c>
      <c r="H20" s="22">
        <f t="shared" si="1"/>
        <v>14</v>
      </c>
      <c r="I20" s="545">
        <f t="shared" si="2"/>
        <v>10</v>
      </c>
      <c r="J20" s="538">
        <f t="shared" si="3"/>
        <v>0</v>
      </c>
      <c r="K20" s="554">
        <v>336656</v>
      </c>
      <c r="L20" s="433">
        <f t="shared" si="4"/>
        <v>290250</v>
      </c>
      <c r="M20" s="433">
        <f t="shared" si="5"/>
        <v>290250</v>
      </c>
      <c r="N20" s="526"/>
      <c r="O20" s="575"/>
      <c r="P20" s="576">
        <f t="shared" si="0"/>
        <v>0</v>
      </c>
      <c r="Q20" s="298">
        <f t="shared" si="6"/>
        <v>-46406</v>
      </c>
      <c r="R20" s="530">
        <f t="shared" si="7"/>
        <v>336656</v>
      </c>
    </row>
    <row r="21" spans="1:18" ht="14.4" x14ac:dyDescent="0.3">
      <c r="A21" s="21" t="s">
        <v>1</v>
      </c>
      <c r="B21" s="558">
        <v>333</v>
      </c>
      <c r="C21" s="564">
        <f>Q21</f>
        <v>4438</v>
      </c>
      <c r="D21" s="565"/>
      <c r="E21" s="535">
        <v>4</v>
      </c>
      <c r="F21" s="544">
        <v>110</v>
      </c>
      <c r="G21" s="413">
        <v>26</v>
      </c>
      <c r="H21" s="22">
        <f t="shared" si="1"/>
        <v>22</v>
      </c>
      <c r="I21" s="545">
        <v>26</v>
      </c>
      <c r="J21" s="538">
        <f t="shared" si="3"/>
        <v>0</v>
      </c>
      <c r="K21" s="554">
        <v>767424</v>
      </c>
      <c r="L21" s="433">
        <f t="shared" si="4"/>
        <v>754650</v>
      </c>
      <c r="M21" s="433">
        <f t="shared" si="5"/>
        <v>754650</v>
      </c>
      <c r="N21" s="526">
        <v>5612</v>
      </c>
      <c r="O21" s="575">
        <v>1450</v>
      </c>
      <c r="P21" s="576">
        <f t="shared" si="0"/>
        <v>1</v>
      </c>
      <c r="Q21" s="298">
        <f t="shared" si="6"/>
        <v>4438</v>
      </c>
      <c r="R21" s="530">
        <f t="shared" si="7"/>
        <v>771862</v>
      </c>
    </row>
    <row r="22" spans="1:18" ht="14.4" x14ac:dyDescent="0.3">
      <c r="A22" s="21" t="s">
        <v>2</v>
      </c>
      <c r="B22" s="558">
        <v>334</v>
      </c>
      <c r="C22" s="562"/>
      <c r="D22" s="563"/>
      <c r="E22" s="535">
        <v>2</v>
      </c>
      <c r="F22" s="544">
        <v>55</v>
      </c>
      <c r="G22" s="413">
        <v>8</v>
      </c>
      <c r="H22" s="22">
        <f t="shared" si="1"/>
        <v>11</v>
      </c>
      <c r="I22" s="545">
        <f t="shared" si="2"/>
        <v>8</v>
      </c>
      <c r="J22" s="538">
        <f t="shared" si="3"/>
        <v>0</v>
      </c>
      <c r="K22" s="554">
        <v>267872</v>
      </c>
      <c r="L22" s="433">
        <f t="shared" si="4"/>
        <v>232200</v>
      </c>
      <c r="M22" s="433">
        <f t="shared" si="5"/>
        <v>232200</v>
      </c>
      <c r="N22" s="526">
        <v>9076</v>
      </c>
      <c r="O22" s="575">
        <v>2900</v>
      </c>
      <c r="P22" s="576">
        <f t="shared" si="0"/>
        <v>2</v>
      </c>
      <c r="Q22" s="298">
        <f t="shared" si="6"/>
        <v>-3396</v>
      </c>
      <c r="R22" s="530">
        <f t="shared" si="7"/>
        <v>267872</v>
      </c>
    </row>
    <row r="23" spans="1:18" ht="14.4" x14ac:dyDescent="0.3">
      <c r="A23" s="21" t="s">
        <v>3</v>
      </c>
      <c r="B23" s="558">
        <v>336</v>
      </c>
      <c r="C23" s="562"/>
      <c r="D23" s="563"/>
      <c r="E23" s="535">
        <v>1</v>
      </c>
      <c r="F23" s="544">
        <v>33</v>
      </c>
      <c r="G23" s="413">
        <v>6</v>
      </c>
      <c r="H23" s="22">
        <f t="shared" si="1"/>
        <v>7</v>
      </c>
      <c r="I23" s="545">
        <f t="shared" si="2"/>
        <v>6</v>
      </c>
      <c r="J23" s="538">
        <f t="shared" si="3"/>
        <v>0</v>
      </c>
      <c r="K23" s="554">
        <v>191856</v>
      </c>
      <c r="L23" s="433">
        <f t="shared" si="4"/>
        <v>174150</v>
      </c>
      <c r="M23" s="433">
        <f t="shared" si="5"/>
        <v>174150</v>
      </c>
      <c r="N23" s="526">
        <v>4539</v>
      </c>
      <c r="O23" s="575">
        <v>1450</v>
      </c>
      <c r="P23" s="576">
        <f t="shared" si="0"/>
        <v>1</v>
      </c>
      <c r="Q23" s="298">
        <f t="shared" si="6"/>
        <v>-1567</v>
      </c>
      <c r="R23" s="530">
        <f t="shared" si="7"/>
        <v>191856</v>
      </c>
    </row>
    <row r="24" spans="1:18" ht="14.4" x14ac:dyDescent="0.3">
      <c r="A24" s="21" t="s">
        <v>4</v>
      </c>
      <c r="B24" s="558">
        <v>337</v>
      </c>
      <c r="C24" s="564">
        <f t="shared" ref="C24" si="11">Q24</f>
        <v>99623</v>
      </c>
      <c r="D24" s="565"/>
      <c r="E24" s="535">
        <v>2</v>
      </c>
      <c r="F24" s="544">
        <v>46</v>
      </c>
      <c r="G24" s="413">
        <v>8</v>
      </c>
      <c r="H24" s="22">
        <f t="shared" si="1"/>
        <v>10</v>
      </c>
      <c r="I24" s="545">
        <f t="shared" si="2"/>
        <v>8</v>
      </c>
      <c r="J24" s="538">
        <f t="shared" si="3"/>
        <v>0</v>
      </c>
      <c r="K24" s="554">
        <v>180992</v>
      </c>
      <c r="L24" s="433">
        <f t="shared" si="4"/>
        <v>232200</v>
      </c>
      <c r="M24" s="433">
        <f t="shared" si="5"/>
        <v>232200</v>
      </c>
      <c r="N24" s="526">
        <v>13615</v>
      </c>
      <c r="O24" s="575">
        <v>4350</v>
      </c>
      <c r="P24" s="576">
        <f t="shared" si="0"/>
        <v>3</v>
      </c>
      <c r="Q24" s="298">
        <f t="shared" si="6"/>
        <v>99623</v>
      </c>
      <c r="R24" s="530">
        <f t="shared" si="7"/>
        <v>280615</v>
      </c>
    </row>
    <row r="25" spans="1:18" ht="14.4" x14ac:dyDescent="0.3">
      <c r="A25" s="29" t="s">
        <v>15</v>
      </c>
      <c r="B25" s="558">
        <v>338</v>
      </c>
      <c r="C25" s="566">
        <f>Q25+0.9</f>
        <v>43939.999999999978</v>
      </c>
      <c r="D25" s="565"/>
      <c r="E25" s="535">
        <v>7</v>
      </c>
      <c r="F25" s="544">
        <v>47</v>
      </c>
      <c r="G25" s="413">
        <v>11</v>
      </c>
      <c r="H25" s="22">
        <f t="shared" si="1"/>
        <v>10</v>
      </c>
      <c r="I25" s="545">
        <v>11</v>
      </c>
      <c r="J25" s="538">
        <f t="shared" si="3"/>
        <v>0</v>
      </c>
      <c r="K25" s="554">
        <v>358352</v>
      </c>
      <c r="L25" s="433">
        <f t="shared" si="4"/>
        <v>319275</v>
      </c>
      <c r="M25" s="433">
        <f t="shared" si="5"/>
        <v>319275</v>
      </c>
      <c r="N25" s="526">
        <v>25016.1</v>
      </c>
      <c r="O25" s="575">
        <v>7250</v>
      </c>
      <c r="P25" s="576">
        <f t="shared" si="0"/>
        <v>5</v>
      </c>
      <c r="Q25" s="298">
        <f t="shared" si="6"/>
        <v>43939.099999999977</v>
      </c>
      <c r="R25" s="530">
        <f t="shared" si="7"/>
        <v>402292</v>
      </c>
    </row>
    <row r="26" spans="1:18" ht="14.4" x14ac:dyDescent="0.3">
      <c r="A26" s="21" t="s">
        <v>16</v>
      </c>
      <c r="B26" s="558">
        <v>339</v>
      </c>
      <c r="C26" s="562"/>
      <c r="D26" s="563">
        <v>-140000</v>
      </c>
      <c r="E26" s="535">
        <v>3</v>
      </c>
      <c r="F26" s="544">
        <v>65</v>
      </c>
      <c r="G26" s="413">
        <v>20</v>
      </c>
      <c r="H26" s="22">
        <f t="shared" si="1"/>
        <v>13</v>
      </c>
      <c r="I26" s="545">
        <v>14</v>
      </c>
      <c r="J26" s="538">
        <f t="shared" si="3"/>
        <v>0</v>
      </c>
      <c r="K26" s="554">
        <v>604528</v>
      </c>
      <c r="L26" s="433">
        <f t="shared" si="4"/>
        <v>406350</v>
      </c>
      <c r="M26" s="433">
        <f t="shared" si="5"/>
        <v>406350</v>
      </c>
      <c r="N26" s="526">
        <v>13617</v>
      </c>
      <c r="O26" s="575">
        <v>4350</v>
      </c>
      <c r="P26" s="576">
        <f t="shared" si="0"/>
        <v>3</v>
      </c>
      <c r="Q26" s="298">
        <f t="shared" si="6"/>
        <v>-149761</v>
      </c>
      <c r="R26" s="530">
        <f t="shared" si="7"/>
        <v>464528</v>
      </c>
    </row>
    <row r="27" spans="1:18" ht="14.4" x14ac:dyDescent="0.3">
      <c r="A27" s="21" t="s">
        <v>17</v>
      </c>
      <c r="B27" s="558">
        <v>340</v>
      </c>
      <c r="C27" s="562"/>
      <c r="D27" s="563"/>
      <c r="E27" s="535">
        <v>2</v>
      </c>
      <c r="F27" s="544">
        <v>34</v>
      </c>
      <c r="G27" s="413">
        <v>7</v>
      </c>
      <c r="H27" s="22">
        <f t="shared" si="1"/>
        <v>7</v>
      </c>
      <c r="I27" s="545">
        <f t="shared" si="2"/>
        <v>7</v>
      </c>
      <c r="J27" s="538">
        <f t="shared" si="3"/>
        <v>0</v>
      </c>
      <c r="K27" s="554">
        <v>267872</v>
      </c>
      <c r="L27" s="433">
        <f t="shared" si="4"/>
        <v>203175</v>
      </c>
      <c r="M27" s="433">
        <f t="shared" si="5"/>
        <v>203175</v>
      </c>
      <c r="N27" s="526"/>
      <c r="O27" s="575"/>
      <c r="P27" s="576">
        <f t="shared" si="0"/>
        <v>0</v>
      </c>
      <c r="Q27" s="298">
        <f t="shared" si="6"/>
        <v>-64697</v>
      </c>
      <c r="R27" s="530">
        <f t="shared" si="7"/>
        <v>267872</v>
      </c>
    </row>
    <row r="28" spans="1:18" ht="14.4" x14ac:dyDescent="0.3">
      <c r="A28" s="21" t="s">
        <v>18</v>
      </c>
      <c r="B28" s="558">
        <v>341</v>
      </c>
      <c r="C28" s="564">
        <f t="shared" ref="C28:C29" si="12">Q28</f>
        <v>78092</v>
      </c>
      <c r="D28" s="565"/>
      <c r="E28" s="535">
        <v>0</v>
      </c>
      <c r="F28" s="544">
        <v>56</v>
      </c>
      <c r="G28" s="413">
        <v>13</v>
      </c>
      <c r="H28" s="22">
        <f t="shared" si="1"/>
        <v>12</v>
      </c>
      <c r="I28" s="545">
        <v>11</v>
      </c>
      <c r="J28" s="538">
        <f t="shared" si="3"/>
        <v>0</v>
      </c>
      <c r="K28" s="554">
        <v>289600</v>
      </c>
      <c r="L28" s="433">
        <f t="shared" si="4"/>
        <v>319275</v>
      </c>
      <c r="M28" s="433">
        <f t="shared" si="5"/>
        <v>319275</v>
      </c>
      <c r="N28" s="526">
        <v>13617</v>
      </c>
      <c r="O28" s="575">
        <v>4350</v>
      </c>
      <c r="P28" s="576">
        <f t="shared" si="0"/>
        <v>3</v>
      </c>
      <c r="Q28" s="298">
        <f t="shared" si="6"/>
        <v>78092</v>
      </c>
      <c r="R28" s="530">
        <f t="shared" si="7"/>
        <v>367692</v>
      </c>
    </row>
    <row r="29" spans="1:18" ht="14.4" x14ac:dyDescent="0.3">
      <c r="A29" s="21" t="s">
        <v>19</v>
      </c>
      <c r="B29" s="558">
        <v>342</v>
      </c>
      <c r="C29" s="564">
        <f t="shared" si="12"/>
        <v>17796</v>
      </c>
      <c r="D29" s="565"/>
      <c r="E29" s="535">
        <v>0</v>
      </c>
      <c r="F29" s="544">
        <v>49</v>
      </c>
      <c r="G29" s="413">
        <v>9</v>
      </c>
      <c r="H29" s="22">
        <f t="shared" si="1"/>
        <v>10</v>
      </c>
      <c r="I29" s="545">
        <v>9</v>
      </c>
      <c r="J29" s="538">
        <f t="shared" si="3"/>
        <v>0</v>
      </c>
      <c r="K29" s="554">
        <v>260640</v>
      </c>
      <c r="L29" s="433">
        <f t="shared" si="4"/>
        <v>261225</v>
      </c>
      <c r="M29" s="433">
        <f t="shared" si="5"/>
        <v>261225</v>
      </c>
      <c r="N29" s="526">
        <v>5611</v>
      </c>
      <c r="O29" s="575">
        <v>1450</v>
      </c>
      <c r="P29" s="576">
        <f t="shared" si="0"/>
        <v>1</v>
      </c>
      <c r="Q29" s="298">
        <f t="shared" si="6"/>
        <v>17796</v>
      </c>
      <c r="R29" s="530">
        <f t="shared" si="7"/>
        <v>278436</v>
      </c>
    </row>
    <row r="30" spans="1:18" ht="14.4" x14ac:dyDescent="0.3">
      <c r="A30" s="21" t="s">
        <v>41</v>
      </c>
      <c r="B30" s="558">
        <v>343</v>
      </c>
      <c r="C30" s="562"/>
      <c r="D30" s="563"/>
      <c r="E30" s="535">
        <v>1</v>
      </c>
      <c r="F30" s="544">
        <v>60</v>
      </c>
      <c r="G30" s="413">
        <v>4</v>
      </c>
      <c r="H30" s="22">
        <f t="shared" si="1"/>
        <v>12</v>
      </c>
      <c r="I30" s="545">
        <f t="shared" si="2"/>
        <v>4</v>
      </c>
      <c r="J30" s="538">
        <f t="shared" si="3"/>
        <v>0</v>
      </c>
      <c r="K30" s="554">
        <v>133936</v>
      </c>
      <c r="L30" s="433">
        <f t="shared" si="4"/>
        <v>116100</v>
      </c>
      <c r="M30" s="433">
        <f t="shared" si="5"/>
        <v>116100</v>
      </c>
      <c r="N30" s="526">
        <v>754</v>
      </c>
      <c r="O30" s="575"/>
      <c r="P30" s="576">
        <f t="shared" si="0"/>
        <v>0</v>
      </c>
      <c r="Q30" s="298">
        <f t="shared" si="6"/>
        <v>-17082</v>
      </c>
      <c r="R30" s="530">
        <f t="shared" si="7"/>
        <v>133936</v>
      </c>
    </row>
    <row r="31" spans="1:18" ht="14.4" x14ac:dyDescent="0.3">
      <c r="A31" s="21" t="s">
        <v>60</v>
      </c>
      <c r="B31" s="558">
        <v>344</v>
      </c>
      <c r="C31" s="562"/>
      <c r="D31" s="563"/>
      <c r="E31" s="535">
        <v>4</v>
      </c>
      <c r="F31" s="544">
        <v>99</v>
      </c>
      <c r="G31" s="413">
        <v>21</v>
      </c>
      <c r="H31" s="22">
        <f t="shared" si="1"/>
        <v>20</v>
      </c>
      <c r="I31" s="545">
        <f t="shared" si="2"/>
        <v>20</v>
      </c>
      <c r="J31" s="538">
        <f t="shared" si="3"/>
        <v>0</v>
      </c>
      <c r="K31" s="554">
        <v>680544</v>
      </c>
      <c r="L31" s="433">
        <f t="shared" si="4"/>
        <v>580500</v>
      </c>
      <c r="M31" s="433">
        <f t="shared" si="5"/>
        <v>580500</v>
      </c>
      <c r="N31" s="526">
        <v>9267</v>
      </c>
      <c r="O31" s="575">
        <v>2900</v>
      </c>
      <c r="P31" s="576">
        <f t="shared" si="0"/>
        <v>2</v>
      </c>
      <c r="Q31" s="298">
        <f t="shared" si="6"/>
        <v>-67577</v>
      </c>
      <c r="R31" s="530">
        <f t="shared" si="7"/>
        <v>680544</v>
      </c>
    </row>
    <row r="32" spans="1:18" ht="14.4" x14ac:dyDescent="0.3">
      <c r="A32" s="21" t="s">
        <v>20</v>
      </c>
      <c r="B32" s="558">
        <v>345</v>
      </c>
      <c r="C32" s="562"/>
      <c r="D32" s="563"/>
      <c r="E32" s="535">
        <v>2</v>
      </c>
      <c r="F32" s="544">
        <v>52</v>
      </c>
      <c r="G32" s="413">
        <v>11</v>
      </c>
      <c r="H32" s="22">
        <f t="shared" si="1"/>
        <v>11</v>
      </c>
      <c r="I32" s="545">
        <f t="shared" si="2"/>
        <v>11</v>
      </c>
      <c r="J32" s="538">
        <f t="shared" si="3"/>
        <v>0</v>
      </c>
      <c r="K32" s="554">
        <v>383712</v>
      </c>
      <c r="L32" s="433">
        <f t="shared" si="4"/>
        <v>319275</v>
      </c>
      <c r="M32" s="433">
        <f t="shared" si="5"/>
        <v>319275</v>
      </c>
      <c r="N32" s="526">
        <v>4539</v>
      </c>
      <c r="O32" s="575">
        <v>1450</v>
      </c>
      <c r="P32" s="576">
        <f t="shared" si="0"/>
        <v>1</v>
      </c>
      <c r="Q32" s="298">
        <f t="shared" si="6"/>
        <v>-48298</v>
      </c>
      <c r="R32" s="530">
        <f t="shared" si="7"/>
        <v>383712</v>
      </c>
    </row>
    <row r="33" spans="1:19" ht="14.4" x14ac:dyDescent="0.3">
      <c r="A33" s="29" t="s">
        <v>7</v>
      </c>
      <c r="B33" s="558">
        <v>346</v>
      </c>
      <c r="C33" s="562"/>
      <c r="D33" s="563"/>
      <c r="E33" s="535">
        <v>1</v>
      </c>
      <c r="F33" s="544">
        <v>90</v>
      </c>
      <c r="G33" s="413">
        <v>12</v>
      </c>
      <c r="H33" s="22">
        <f t="shared" si="1"/>
        <v>18</v>
      </c>
      <c r="I33" s="545">
        <f t="shared" si="2"/>
        <v>12</v>
      </c>
      <c r="J33" s="538">
        <f t="shared" si="3"/>
        <v>0</v>
      </c>
      <c r="K33" s="554">
        <v>423536</v>
      </c>
      <c r="L33" s="433">
        <f t="shared" si="4"/>
        <v>348300</v>
      </c>
      <c r="M33" s="433">
        <f t="shared" si="5"/>
        <v>348300</v>
      </c>
      <c r="N33" s="526"/>
      <c r="O33" s="575"/>
      <c r="P33" s="576">
        <f t="shared" si="0"/>
        <v>0</v>
      </c>
      <c r="Q33" s="298">
        <f t="shared" si="6"/>
        <v>-75236</v>
      </c>
      <c r="R33" s="530">
        <f t="shared" si="7"/>
        <v>423536</v>
      </c>
    </row>
    <row r="34" spans="1:19" ht="14.4" x14ac:dyDescent="0.3">
      <c r="A34" s="21" t="s">
        <v>21</v>
      </c>
      <c r="B34" s="558">
        <v>347</v>
      </c>
      <c r="C34" s="564">
        <f t="shared" ref="C34" si="13">Q34</f>
        <v>29935</v>
      </c>
      <c r="D34" s="565"/>
      <c r="E34" s="535">
        <v>0</v>
      </c>
      <c r="F34" s="544">
        <v>75</v>
      </c>
      <c r="G34" s="413">
        <v>15</v>
      </c>
      <c r="H34" s="22">
        <f t="shared" si="1"/>
        <v>15</v>
      </c>
      <c r="I34" s="545">
        <f t="shared" si="2"/>
        <v>15</v>
      </c>
      <c r="J34" s="538">
        <f t="shared" si="3"/>
        <v>0</v>
      </c>
      <c r="K34" s="554">
        <v>405440</v>
      </c>
      <c r="L34" s="433">
        <f t="shared" si="4"/>
        <v>435375</v>
      </c>
      <c r="M34" s="433">
        <f t="shared" si="5"/>
        <v>435375</v>
      </c>
      <c r="N34" s="526"/>
      <c r="O34" s="575"/>
      <c r="P34" s="576">
        <f t="shared" si="0"/>
        <v>0</v>
      </c>
      <c r="Q34" s="298">
        <f t="shared" si="6"/>
        <v>29935</v>
      </c>
      <c r="R34" s="530">
        <f t="shared" si="7"/>
        <v>435375</v>
      </c>
    </row>
    <row r="35" spans="1:19" ht="14.4" x14ac:dyDescent="0.3">
      <c r="A35" s="21" t="s">
        <v>22</v>
      </c>
      <c r="B35" s="558">
        <v>348</v>
      </c>
      <c r="C35" s="562"/>
      <c r="D35" s="563"/>
      <c r="E35" s="535">
        <v>3</v>
      </c>
      <c r="F35" s="547">
        <v>67</v>
      </c>
      <c r="G35" s="417">
        <v>6</v>
      </c>
      <c r="H35" s="22">
        <f t="shared" si="1"/>
        <v>14</v>
      </c>
      <c r="I35" s="545">
        <f t="shared" si="2"/>
        <v>6</v>
      </c>
      <c r="J35" s="538">
        <f t="shared" si="3"/>
        <v>0</v>
      </c>
      <c r="K35" s="554">
        <v>257008</v>
      </c>
      <c r="L35" s="433">
        <f t="shared" si="4"/>
        <v>174150</v>
      </c>
      <c r="M35" s="433">
        <f t="shared" si="5"/>
        <v>174150</v>
      </c>
      <c r="N35" s="526">
        <v>4538</v>
      </c>
      <c r="O35" s="575">
        <v>1450</v>
      </c>
      <c r="P35" s="576">
        <f t="shared" si="0"/>
        <v>1</v>
      </c>
      <c r="Q35" s="298">
        <f t="shared" si="6"/>
        <v>-66720</v>
      </c>
      <c r="R35" s="530">
        <f t="shared" si="7"/>
        <v>257008</v>
      </c>
    </row>
    <row r="36" spans="1:19" ht="14.4" x14ac:dyDescent="0.3">
      <c r="A36" s="21" t="s">
        <v>23</v>
      </c>
      <c r="B36" s="558">
        <v>350</v>
      </c>
      <c r="C36" s="564">
        <f>Q36</f>
        <v>6295</v>
      </c>
      <c r="D36" s="565"/>
      <c r="E36" s="535">
        <v>1</v>
      </c>
      <c r="F36" s="547">
        <v>60</v>
      </c>
      <c r="G36" s="417">
        <v>7</v>
      </c>
      <c r="H36" s="22">
        <f t="shared" si="1"/>
        <v>12</v>
      </c>
      <c r="I36" s="545">
        <f t="shared" si="2"/>
        <v>7</v>
      </c>
      <c r="J36" s="538">
        <f t="shared" si="3"/>
        <v>0</v>
      </c>
      <c r="K36" s="554">
        <v>249776</v>
      </c>
      <c r="L36" s="433">
        <f t="shared" si="4"/>
        <v>203175</v>
      </c>
      <c r="M36" s="433">
        <f t="shared" si="5"/>
        <v>203175</v>
      </c>
      <c r="N36" s="526">
        <v>18096</v>
      </c>
      <c r="O36" s="575">
        <v>4350</v>
      </c>
      <c r="P36" s="576">
        <f t="shared" si="0"/>
        <v>3</v>
      </c>
      <c r="Q36" s="298">
        <f t="shared" si="6"/>
        <v>6295</v>
      </c>
      <c r="R36" s="530">
        <f t="shared" si="7"/>
        <v>256071</v>
      </c>
    </row>
    <row r="37" spans="1:19" ht="14.4" x14ac:dyDescent="0.3">
      <c r="A37" s="21" t="s">
        <v>25</v>
      </c>
      <c r="B37" s="558">
        <v>458</v>
      </c>
      <c r="C37" s="562"/>
      <c r="D37" s="563"/>
      <c r="E37" s="535">
        <v>3</v>
      </c>
      <c r="F37" s="547">
        <v>55</v>
      </c>
      <c r="G37" s="417">
        <v>13</v>
      </c>
      <c r="H37" s="22">
        <f t="shared" si="1"/>
        <v>11</v>
      </c>
      <c r="I37" s="545">
        <f t="shared" si="2"/>
        <v>11</v>
      </c>
      <c r="J37" s="538">
        <f t="shared" si="3"/>
        <v>0</v>
      </c>
      <c r="K37" s="554">
        <v>372848</v>
      </c>
      <c r="L37" s="433">
        <f t="shared" si="4"/>
        <v>319275</v>
      </c>
      <c r="M37" s="433">
        <f t="shared" si="5"/>
        <v>319275</v>
      </c>
      <c r="N37" s="526">
        <v>4539</v>
      </c>
      <c r="O37" s="575">
        <v>1450</v>
      </c>
      <c r="P37" s="576">
        <f t="shared" si="0"/>
        <v>1</v>
      </c>
      <c r="Q37" s="298">
        <f t="shared" si="6"/>
        <v>-37434</v>
      </c>
      <c r="R37" s="530">
        <f t="shared" si="7"/>
        <v>372848</v>
      </c>
    </row>
    <row r="38" spans="1:19" ht="14.4" x14ac:dyDescent="0.3">
      <c r="A38" s="21" t="s">
        <v>26</v>
      </c>
      <c r="B38" s="558">
        <v>497</v>
      </c>
      <c r="C38" s="562"/>
      <c r="D38" s="563">
        <v>-180000</v>
      </c>
      <c r="E38" s="535">
        <v>2</v>
      </c>
      <c r="F38" s="547">
        <v>46</v>
      </c>
      <c r="G38" s="417">
        <v>4</v>
      </c>
      <c r="H38" s="22">
        <f t="shared" si="1"/>
        <v>10</v>
      </c>
      <c r="I38" s="545">
        <f t="shared" si="2"/>
        <v>4</v>
      </c>
      <c r="J38" s="538">
        <f t="shared" si="3"/>
        <v>0</v>
      </c>
      <c r="K38" s="554">
        <v>325792</v>
      </c>
      <c r="L38" s="433">
        <f t="shared" si="4"/>
        <v>116100</v>
      </c>
      <c r="M38" s="433">
        <f t="shared" si="5"/>
        <v>116100</v>
      </c>
      <c r="N38" s="526">
        <v>4539</v>
      </c>
      <c r="O38" s="575">
        <v>1450</v>
      </c>
      <c r="P38" s="576">
        <f t="shared" si="0"/>
        <v>1</v>
      </c>
      <c r="Q38" s="298">
        <f t="shared" si="6"/>
        <v>-193553</v>
      </c>
      <c r="R38" s="530">
        <f t="shared" si="7"/>
        <v>145792</v>
      </c>
    </row>
    <row r="39" spans="1:19" ht="14.4" x14ac:dyDescent="0.3">
      <c r="A39" s="21" t="s">
        <v>8</v>
      </c>
      <c r="B39" s="558">
        <v>498</v>
      </c>
      <c r="C39" s="562"/>
      <c r="D39" s="563"/>
      <c r="E39" s="535">
        <v>1</v>
      </c>
      <c r="F39" s="544">
        <v>61</v>
      </c>
      <c r="G39" s="413">
        <v>13</v>
      </c>
      <c r="H39" s="22">
        <f t="shared" si="1"/>
        <v>13</v>
      </c>
      <c r="I39" s="545">
        <f t="shared" si="2"/>
        <v>13</v>
      </c>
      <c r="J39" s="538">
        <f t="shared" si="3"/>
        <v>0</v>
      </c>
      <c r="K39" s="554">
        <v>394576</v>
      </c>
      <c r="L39" s="433">
        <f t="shared" si="4"/>
        <v>377325</v>
      </c>
      <c r="M39" s="433">
        <f t="shared" si="5"/>
        <v>377325</v>
      </c>
      <c r="N39" s="526">
        <v>4340.09</v>
      </c>
      <c r="O39" s="575">
        <v>1450.5</v>
      </c>
      <c r="P39" s="576">
        <v>1</v>
      </c>
      <c r="Q39" s="298">
        <f t="shared" si="6"/>
        <v>-1310.9099999999744</v>
      </c>
      <c r="R39" s="530">
        <f t="shared" si="7"/>
        <v>394576</v>
      </c>
    </row>
    <row r="40" spans="1:19" ht="14.4" x14ac:dyDescent="0.3">
      <c r="A40" s="21" t="s">
        <v>27</v>
      </c>
      <c r="B40" s="558">
        <v>512</v>
      </c>
      <c r="C40" s="562"/>
      <c r="D40" s="563"/>
      <c r="E40" s="535">
        <v>1</v>
      </c>
      <c r="F40" s="544">
        <v>39</v>
      </c>
      <c r="G40" s="413">
        <v>7</v>
      </c>
      <c r="H40" s="22">
        <f t="shared" si="1"/>
        <v>8</v>
      </c>
      <c r="I40" s="545">
        <f t="shared" si="2"/>
        <v>7</v>
      </c>
      <c r="J40" s="538">
        <f t="shared" si="3"/>
        <v>0</v>
      </c>
      <c r="K40" s="554">
        <v>394576</v>
      </c>
      <c r="L40" s="433">
        <f t="shared" si="4"/>
        <v>203175</v>
      </c>
      <c r="M40" s="433">
        <f t="shared" si="5"/>
        <v>203175</v>
      </c>
      <c r="N40" s="526">
        <v>4538</v>
      </c>
      <c r="O40" s="575">
        <v>1450</v>
      </c>
      <c r="P40" s="576">
        <f>O40/$O$2</f>
        <v>1</v>
      </c>
      <c r="Q40" s="298">
        <f t="shared" si="6"/>
        <v>-175263</v>
      </c>
      <c r="R40" s="530">
        <f t="shared" si="7"/>
        <v>394576</v>
      </c>
    </row>
    <row r="41" spans="1:19" ht="14.4" x14ac:dyDescent="0.3">
      <c r="A41" s="21" t="s">
        <v>28</v>
      </c>
      <c r="B41" s="558">
        <v>513</v>
      </c>
      <c r="C41" s="562"/>
      <c r="D41" s="563"/>
      <c r="E41" s="535">
        <v>6</v>
      </c>
      <c r="F41" s="544">
        <v>74</v>
      </c>
      <c r="G41" s="413">
        <v>14</v>
      </c>
      <c r="H41" s="22">
        <f t="shared" si="1"/>
        <v>15</v>
      </c>
      <c r="I41" s="545">
        <f t="shared" si="2"/>
        <v>14</v>
      </c>
      <c r="J41" s="538">
        <f t="shared" si="3"/>
        <v>0</v>
      </c>
      <c r="K41" s="554">
        <v>600896</v>
      </c>
      <c r="L41" s="433">
        <f t="shared" si="4"/>
        <v>406350</v>
      </c>
      <c r="M41" s="433">
        <f t="shared" si="5"/>
        <v>406350</v>
      </c>
      <c r="N41" s="526">
        <v>18154</v>
      </c>
      <c r="O41" s="575">
        <v>5800</v>
      </c>
      <c r="P41" s="576">
        <f>O41/$O$2</f>
        <v>4</v>
      </c>
      <c r="Q41" s="298">
        <f t="shared" si="6"/>
        <v>-129992</v>
      </c>
      <c r="R41" s="530">
        <f t="shared" si="7"/>
        <v>600896</v>
      </c>
    </row>
    <row r="42" spans="1:19" ht="14.4" x14ac:dyDescent="0.3">
      <c r="A42" s="21" t="s">
        <v>29</v>
      </c>
      <c r="B42" s="558">
        <v>516</v>
      </c>
      <c r="C42" s="564">
        <f>Q42</f>
        <v>1397</v>
      </c>
      <c r="D42" s="565"/>
      <c r="E42" s="535">
        <v>2</v>
      </c>
      <c r="F42" s="544">
        <v>48</v>
      </c>
      <c r="G42" s="413">
        <v>9</v>
      </c>
      <c r="H42" s="22">
        <f t="shared" si="1"/>
        <v>10</v>
      </c>
      <c r="I42" s="545">
        <f t="shared" si="2"/>
        <v>9</v>
      </c>
      <c r="J42" s="538">
        <f t="shared" si="3"/>
        <v>0</v>
      </c>
      <c r="K42" s="554">
        <v>296832</v>
      </c>
      <c r="L42" s="433">
        <f t="shared" si="4"/>
        <v>261225</v>
      </c>
      <c r="M42" s="433">
        <f t="shared" si="5"/>
        <v>261225</v>
      </c>
      <c r="N42" s="526">
        <v>13804</v>
      </c>
      <c r="O42" s="575">
        <v>3089</v>
      </c>
      <c r="P42" s="576">
        <v>2</v>
      </c>
      <c r="Q42" s="298">
        <f t="shared" si="6"/>
        <v>1397</v>
      </c>
      <c r="R42" s="530">
        <f t="shared" si="7"/>
        <v>298229</v>
      </c>
    </row>
    <row r="43" spans="1:19" ht="14.4" x14ac:dyDescent="0.3">
      <c r="A43" s="21" t="s">
        <v>30</v>
      </c>
      <c r="B43" s="558">
        <v>527</v>
      </c>
      <c r="C43" s="579">
        <f>Q43</f>
        <v>76192</v>
      </c>
      <c r="D43" s="563"/>
      <c r="E43" s="535">
        <v>1</v>
      </c>
      <c r="F43" s="544">
        <v>43</v>
      </c>
      <c r="G43" s="413">
        <v>9</v>
      </c>
      <c r="H43" s="22">
        <f t="shared" si="1"/>
        <v>9</v>
      </c>
      <c r="I43" s="545">
        <f t="shared" si="2"/>
        <v>9</v>
      </c>
      <c r="J43" s="538">
        <f t="shared" si="3"/>
        <v>0</v>
      </c>
      <c r="K43" s="554">
        <v>249776</v>
      </c>
      <c r="L43" s="433">
        <f t="shared" si="4"/>
        <v>261225</v>
      </c>
      <c r="M43" s="433">
        <f t="shared" si="5"/>
        <v>261225</v>
      </c>
      <c r="N43" s="526">
        <v>18343</v>
      </c>
      <c r="O43" s="575">
        <v>5800</v>
      </c>
      <c r="P43" s="576">
        <f>O43/$O$2</f>
        <v>4</v>
      </c>
      <c r="Q43" s="298">
        <f t="shared" si="6"/>
        <v>76192</v>
      </c>
      <c r="R43" s="530">
        <f t="shared" si="7"/>
        <v>325968</v>
      </c>
    </row>
    <row r="44" spans="1:19" ht="14.4" x14ac:dyDescent="0.3">
      <c r="A44" s="21" t="s">
        <v>38</v>
      </c>
      <c r="B44" s="558">
        <v>528</v>
      </c>
      <c r="C44" s="564">
        <f>Q44+0.5</f>
        <v>161283</v>
      </c>
      <c r="D44" s="565"/>
      <c r="E44" s="535">
        <v>2</v>
      </c>
      <c r="F44" s="547">
        <v>120</v>
      </c>
      <c r="G44" s="417">
        <v>29</v>
      </c>
      <c r="H44" s="22">
        <f t="shared" si="1"/>
        <v>24</v>
      </c>
      <c r="I44" s="545">
        <v>29</v>
      </c>
      <c r="J44" s="538">
        <f t="shared" si="3"/>
        <v>0</v>
      </c>
      <c r="K44" s="554">
        <v>760192</v>
      </c>
      <c r="L44" s="433">
        <f t="shared" si="4"/>
        <v>841725</v>
      </c>
      <c r="M44" s="433">
        <f t="shared" si="5"/>
        <v>841725</v>
      </c>
      <c r="N44" s="526">
        <v>21749.5</v>
      </c>
      <c r="O44" s="575">
        <v>7249.5</v>
      </c>
      <c r="P44" s="576">
        <v>5</v>
      </c>
      <c r="Q44" s="298">
        <f t="shared" si="6"/>
        <v>161282.5</v>
      </c>
      <c r="R44" s="530">
        <f t="shared" si="7"/>
        <v>921475</v>
      </c>
      <c r="S44" s="7" t="s">
        <v>337</v>
      </c>
    </row>
    <row r="45" spans="1:19" ht="14.4" x14ac:dyDescent="0.3">
      <c r="A45" s="21" t="s">
        <v>49</v>
      </c>
      <c r="B45" s="558">
        <v>557</v>
      </c>
      <c r="C45" s="562"/>
      <c r="D45" s="563"/>
      <c r="E45" s="535">
        <v>1</v>
      </c>
      <c r="F45" s="547">
        <v>45</v>
      </c>
      <c r="G45" s="417">
        <v>15</v>
      </c>
      <c r="H45" s="22">
        <f t="shared" si="1"/>
        <v>9</v>
      </c>
      <c r="I45" s="545">
        <f t="shared" si="2"/>
        <v>9</v>
      </c>
      <c r="J45" s="538">
        <f t="shared" si="3"/>
        <v>0</v>
      </c>
      <c r="K45" s="554">
        <v>452496</v>
      </c>
      <c r="L45" s="433">
        <f t="shared" si="4"/>
        <v>261225</v>
      </c>
      <c r="M45" s="433">
        <f t="shared" si="5"/>
        <v>261225</v>
      </c>
      <c r="N45" s="526">
        <v>19845</v>
      </c>
      <c r="O45" s="575">
        <v>5890</v>
      </c>
      <c r="P45" s="576">
        <v>4</v>
      </c>
      <c r="Q45" s="298">
        <f t="shared" si="6"/>
        <v>-125026</v>
      </c>
      <c r="R45" s="530">
        <f t="shared" si="7"/>
        <v>452496</v>
      </c>
    </row>
    <row r="46" spans="1:19" ht="14.4" x14ac:dyDescent="0.3">
      <c r="A46" s="21" t="s">
        <v>31</v>
      </c>
      <c r="B46" s="558">
        <v>569</v>
      </c>
      <c r="C46" s="562"/>
      <c r="D46" s="563">
        <v>-300000</v>
      </c>
      <c r="E46" s="535">
        <v>4</v>
      </c>
      <c r="F46" s="547">
        <v>78</v>
      </c>
      <c r="G46" s="417">
        <v>27</v>
      </c>
      <c r="H46" s="22">
        <f t="shared" si="1"/>
        <v>16</v>
      </c>
      <c r="I46" s="545">
        <v>14</v>
      </c>
      <c r="J46" s="538">
        <f t="shared" si="3"/>
        <v>0</v>
      </c>
      <c r="K46" s="554">
        <v>796384</v>
      </c>
      <c r="L46" s="433">
        <f t="shared" si="4"/>
        <v>406350</v>
      </c>
      <c r="M46" s="433">
        <f t="shared" si="5"/>
        <v>406350</v>
      </c>
      <c r="N46" s="526">
        <v>5612</v>
      </c>
      <c r="O46" s="575">
        <v>1450</v>
      </c>
      <c r="P46" s="576">
        <f t="shared" ref="P46:P61" si="14">O46/$O$2</f>
        <v>1</v>
      </c>
      <c r="Q46" s="298">
        <f t="shared" si="6"/>
        <v>-372822</v>
      </c>
      <c r="R46" s="530">
        <f t="shared" si="7"/>
        <v>496384</v>
      </c>
    </row>
    <row r="47" spans="1:19" ht="14.4" x14ac:dyDescent="0.3">
      <c r="A47" s="21" t="s">
        <v>32</v>
      </c>
      <c r="B47" s="558">
        <v>570</v>
      </c>
      <c r="C47" s="562"/>
      <c r="D47" s="563"/>
      <c r="E47" s="535">
        <v>2</v>
      </c>
      <c r="F47" s="547">
        <v>61</v>
      </c>
      <c r="G47" s="417">
        <v>19</v>
      </c>
      <c r="H47" s="22">
        <f t="shared" si="1"/>
        <v>13</v>
      </c>
      <c r="I47" s="545">
        <f t="shared" si="2"/>
        <v>13</v>
      </c>
      <c r="J47" s="538">
        <f t="shared" si="3"/>
        <v>0</v>
      </c>
      <c r="K47" s="554">
        <v>499552</v>
      </c>
      <c r="L47" s="433">
        <f t="shared" si="4"/>
        <v>377325</v>
      </c>
      <c r="M47" s="433">
        <f t="shared" si="5"/>
        <v>377325</v>
      </c>
      <c r="N47" s="526">
        <v>11223</v>
      </c>
      <c r="O47" s="575">
        <v>2900</v>
      </c>
      <c r="P47" s="576">
        <f t="shared" si="14"/>
        <v>2</v>
      </c>
      <c r="Q47" s="298">
        <f t="shared" si="6"/>
        <v>-87804</v>
      </c>
      <c r="R47" s="530">
        <f t="shared" si="7"/>
        <v>499552</v>
      </c>
    </row>
    <row r="48" spans="1:19" ht="14.4" x14ac:dyDescent="0.3">
      <c r="A48" s="21" t="s">
        <v>33</v>
      </c>
      <c r="B48" s="558">
        <v>571</v>
      </c>
      <c r="C48" s="562"/>
      <c r="D48" s="563"/>
      <c r="E48" s="535">
        <v>0</v>
      </c>
      <c r="F48" s="547">
        <v>62</v>
      </c>
      <c r="G48" s="417">
        <v>14</v>
      </c>
      <c r="H48" s="22">
        <f t="shared" si="1"/>
        <v>13</v>
      </c>
      <c r="I48" s="545">
        <v>14</v>
      </c>
      <c r="J48" s="538">
        <f t="shared" si="3"/>
        <v>0</v>
      </c>
      <c r="K48" s="554">
        <v>463360</v>
      </c>
      <c r="L48" s="433">
        <f t="shared" si="4"/>
        <v>406350</v>
      </c>
      <c r="M48" s="433">
        <f t="shared" si="5"/>
        <v>406350</v>
      </c>
      <c r="N48" s="526">
        <v>13616</v>
      </c>
      <c r="O48" s="575">
        <v>4350</v>
      </c>
      <c r="P48" s="576">
        <f t="shared" si="14"/>
        <v>3</v>
      </c>
      <c r="Q48" s="298">
        <f t="shared" si="6"/>
        <v>-8594</v>
      </c>
      <c r="R48" s="530">
        <f t="shared" si="7"/>
        <v>463360</v>
      </c>
    </row>
    <row r="49" spans="1:18" ht="14.4" x14ac:dyDescent="0.3">
      <c r="A49" s="21" t="s">
        <v>34</v>
      </c>
      <c r="B49" s="558">
        <v>572</v>
      </c>
      <c r="C49" s="564">
        <f>Q49</f>
        <v>8892</v>
      </c>
      <c r="D49" s="565"/>
      <c r="E49" s="535">
        <v>4</v>
      </c>
      <c r="F49" s="547">
        <v>53</v>
      </c>
      <c r="G49" s="417">
        <v>9</v>
      </c>
      <c r="H49" s="22">
        <f t="shared" si="1"/>
        <v>11</v>
      </c>
      <c r="I49" s="545">
        <f t="shared" si="2"/>
        <v>9</v>
      </c>
      <c r="J49" s="538">
        <f t="shared" si="3"/>
        <v>0</v>
      </c>
      <c r="K49" s="554">
        <v>333024</v>
      </c>
      <c r="L49" s="433">
        <f t="shared" si="4"/>
        <v>261225</v>
      </c>
      <c r="M49" s="433">
        <f t="shared" si="5"/>
        <v>261225</v>
      </c>
      <c r="N49" s="526">
        <v>22691</v>
      </c>
      <c r="O49" s="575">
        <v>7250</v>
      </c>
      <c r="P49" s="576">
        <f t="shared" si="14"/>
        <v>5</v>
      </c>
      <c r="Q49" s="298">
        <f t="shared" si="6"/>
        <v>8892</v>
      </c>
      <c r="R49" s="530">
        <f t="shared" si="7"/>
        <v>341916</v>
      </c>
    </row>
    <row r="50" spans="1:18" ht="14.4" x14ac:dyDescent="0.3">
      <c r="A50" s="21" t="s">
        <v>40</v>
      </c>
      <c r="B50" s="558">
        <v>574</v>
      </c>
      <c r="C50" s="562"/>
      <c r="D50" s="563"/>
      <c r="E50" s="535">
        <v>1</v>
      </c>
      <c r="F50" s="547">
        <v>117</v>
      </c>
      <c r="G50" s="417">
        <v>13</v>
      </c>
      <c r="H50" s="22">
        <f t="shared" si="1"/>
        <v>24</v>
      </c>
      <c r="I50" s="545">
        <f t="shared" si="2"/>
        <v>13</v>
      </c>
      <c r="J50" s="538">
        <f t="shared" si="3"/>
        <v>0</v>
      </c>
      <c r="K50" s="554">
        <v>452496</v>
      </c>
      <c r="L50" s="433">
        <f t="shared" si="4"/>
        <v>377325</v>
      </c>
      <c r="M50" s="433">
        <f t="shared" si="5"/>
        <v>377325</v>
      </c>
      <c r="N50" s="526">
        <v>9074</v>
      </c>
      <c r="O50" s="575">
        <v>2900</v>
      </c>
      <c r="P50" s="576">
        <f t="shared" si="14"/>
        <v>2</v>
      </c>
      <c r="Q50" s="298">
        <f t="shared" si="6"/>
        <v>-42897</v>
      </c>
      <c r="R50" s="530">
        <f t="shared" si="7"/>
        <v>452496</v>
      </c>
    </row>
    <row r="51" spans="1:18" ht="14.4" x14ac:dyDescent="0.3">
      <c r="A51" s="21" t="s">
        <v>37</v>
      </c>
      <c r="B51" s="558">
        <v>591</v>
      </c>
      <c r="C51" s="562"/>
      <c r="D51" s="563"/>
      <c r="E51" s="535">
        <v>2</v>
      </c>
      <c r="F51" s="547">
        <v>42</v>
      </c>
      <c r="G51" s="417">
        <v>8</v>
      </c>
      <c r="H51" s="22">
        <f t="shared" si="1"/>
        <v>9</v>
      </c>
      <c r="I51" s="545">
        <f t="shared" si="2"/>
        <v>8</v>
      </c>
      <c r="J51" s="538">
        <f t="shared" si="3"/>
        <v>0</v>
      </c>
      <c r="K51" s="554">
        <v>267872</v>
      </c>
      <c r="L51" s="433">
        <f t="shared" si="4"/>
        <v>232200</v>
      </c>
      <c r="M51" s="433">
        <f t="shared" si="5"/>
        <v>232200</v>
      </c>
      <c r="N51" s="526"/>
      <c r="O51" s="575"/>
      <c r="P51" s="576">
        <f t="shared" si="14"/>
        <v>0</v>
      </c>
      <c r="Q51" s="298">
        <f t="shared" si="6"/>
        <v>-35672</v>
      </c>
      <c r="R51" s="530">
        <f t="shared" si="7"/>
        <v>267872</v>
      </c>
    </row>
    <row r="52" spans="1:18" ht="14.4" x14ac:dyDescent="0.3">
      <c r="A52" s="21" t="s">
        <v>36</v>
      </c>
      <c r="B52" s="558">
        <v>593</v>
      </c>
      <c r="C52" s="562"/>
      <c r="D52" s="563"/>
      <c r="E52" s="535">
        <v>2</v>
      </c>
      <c r="F52" s="547">
        <v>46</v>
      </c>
      <c r="G52" s="417">
        <v>10</v>
      </c>
      <c r="H52" s="22">
        <f t="shared" si="1"/>
        <v>10</v>
      </c>
      <c r="I52" s="545">
        <f t="shared" si="2"/>
        <v>10</v>
      </c>
      <c r="J52" s="538">
        <f t="shared" si="3"/>
        <v>0</v>
      </c>
      <c r="K52" s="554">
        <v>325792</v>
      </c>
      <c r="L52" s="433">
        <f t="shared" si="4"/>
        <v>290250</v>
      </c>
      <c r="M52" s="433">
        <f t="shared" si="5"/>
        <v>290250</v>
      </c>
      <c r="N52" s="526">
        <v>4350</v>
      </c>
      <c r="O52" s="575">
        <v>1450</v>
      </c>
      <c r="P52" s="576">
        <f t="shared" si="14"/>
        <v>1</v>
      </c>
      <c r="Q52" s="298">
        <f t="shared" si="6"/>
        <v>-19592</v>
      </c>
      <c r="R52" s="530">
        <f t="shared" si="7"/>
        <v>325792</v>
      </c>
    </row>
    <row r="53" spans="1:18" ht="14.4" x14ac:dyDescent="0.3">
      <c r="A53" s="21" t="s">
        <v>42</v>
      </c>
      <c r="B53" s="558">
        <v>625</v>
      </c>
      <c r="C53" s="562"/>
      <c r="D53" s="563"/>
      <c r="E53" s="535">
        <v>2</v>
      </c>
      <c r="F53" s="547">
        <v>73</v>
      </c>
      <c r="G53" s="417">
        <v>18</v>
      </c>
      <c r="H53" s="22">
        <f t="shared" si="1"/>
        <v>15</v>
      </c>
      <c r="I53" s="545">
        <f t="shared" si="2"/>
        <v>15</v>
      </c>
      <c r="J53" s="538">
        <f t="shared" si="3"/>
        <v>0</v>
      </c>
      <c r="K53" s="554">
        <v>557472</v>
      </c>
      <c r="L53" s="433">
        <f t="shared" si="4"/>
        <v>435375</v>
      </c>
      <c r="M53" s="433">
        <f t="shared" si="5"/>
        <v>435375</v>
      </c>
      <c r="N53" s="526">
        <v>16833</v>
      </c>
      <c r="O53" s="575">
        <v>4350</v>
      </c>
      <c r="P53" s="576">
        <f t="shared" si="14"/>
        <v>3</v>
      </c>
      <c r="Q53" s="298">
        <f t="shared" si="6"/>
        <v>-70464</v>
      </c>
      <c r="R53" s="530">
        <f t="shared" si="7"/>
        <v>557472</v>
      </c>
    </row>
    <row r="54" spans="1:18" ht="14.4" x14ac:dyDescent="0.3">
      <c r="A54" s="21" t="s">
        <v>63</v>
      </c>
      <c r="B54" s="558">
        <v>627</v>
      </c>
      <c r="C54" s="562"/>
      <c r="D54" s="563">
        <v>-180000</v>
      </c>
      <c r="E54" s="535">
        <v>3</v>
      </c>
      <c r="F54" s="547">
        <v>98</v>
      </c>
      <c r="G54" s="417">
        <v>13</v>
      </c>
      <c r="H54" s="22">
        <f t="shared" si="1"/>
        <v>20</v>
      </c>
      <c r="I54" s="545">
        <f t="shared" si="2"/>
        <v>13</v>
      </c>
      <c r="J54" s="538">
        <f t="shared" si="3"/>
        <v>0</v>
      </c>
      <c r="K54" s="554">
        <v>633488</v>
      </c>
      <c r="L54" s="433">
        <f t="shared" si="4"/>
        <v>377325</v>
      </c>
      <c r="M54" s="433">
        <f t="shared" si="5"/>
        <v>377325</v>
      </c>
      <c r="N54" s="526">
        <v>16835</v>
      </c>
      <c r="O54" s="575">
        <v>4350</v>
      </c>
      <c r="P54" s="576">
        <f t="shared" si="14"/>
        <v>3</v>
      </c>
      <c r="Q54" s="298">
        <f t="shared" si="6"/>
        <v>-204528</v>
      </c>
      <c r="R54" s="530">
        <f t="shared" si="7"/>
        <v>453488</v>
      </c>
    </row>
    <row r="55" spans="1:18" ht="14.4" x14ac:dyDescent="0.3">
      <c r="A55" s="21" t="s">
        <v>50</v>
      </c>
      <c r="B55" s="558">
        <v>639</v>
      </c>
      <c r="C55" s="564">
        <f t="shared" ref="C55:C57" si="15">Q55</f>
        <v>122525</v>
      </c>
      <c r="D55" s="565"/>
      <c r="E55" s="535">
        <v>0</v>
      </c>
      <c r="F55" s="547">
        <v>71</v>
      </c>
      <c r="G55" s="417">
        <v>13</v>
      </c>
      <c r="H55" s="22">
        <f t="shared" si="1"/>
        <v>15</v>
      </c>
      <c r="I55" s="545">
        <f t="shared" si="2"/>
        <v>13</v>
      </c>
      <c r="J55" s="538">
        <f t="shared" si="3"/>
        <v>0</v>
      </c>
      <c r="K55" s="554">
        <v>289600</v>
      </c>
      <c r="L55" s="433">
        <f t="shared" si="4"/>
        <v>377325</v>
      </c>
      <c r="M55" s="433">
        <f t="shared" si="5"/>
        <v>377325</v>
      </c>
      <c r="N55" s="526">
        <v>11600</v>
      </c>
      <c r="O55" s="575">
        <v>2900</v>
      </c>
      <c r="P55" s="576">
        <f t="shared" si="14"/>
        <v>2</v>
      </c>
      <c r="Q55" s="298">
        <f t="shared" si="6"/>
        <v>122525</v>
      </c>
      <c r="R55" s="530">
        <f t="shared" si="7"/>
        <v>412125</v>
      </c>
    </row>
    <row r="56" spans="1:18" ht="14.4" x14ac:dyDescent="0.3">
      <c r="A56" s="21" t="s">
        <v>59</v>
      </c>
      <c r="B56" s="558">
        <v>641</v>
      </c>
      <c r="C56" s="564">
        <f t="shared" si="15"/>
        <v>74904</v>
      </c>
      <c r="D56" s="565"/>
      <c r="E56" s="535">
        <v>0</v>
      </c>
      <c r="F56" s="547">
        <v>61</v>
      </c>
      <c r="G56" s="417">
        <v>13</v>
      </c>
      <c r="H56" s="22">
        <f t="shared" si="1"/>
        <v>13</v>
      </c>
      <c r="I56" s="545">
        <f t="shared" si="2"/>
        <v>13</v>
      </c>
      <c r="J56" s="538">
        <f t="shared" si="3"/>
        <v>0</v>
      </c>
      <c r="K56" s="554">
        <v>318560</v>
      </c>
      <c r="L56" s="433">
        <f t="shared" si="4"/>
        <v>377325</v>
      </c>
      <c r="M56" s="433">
        <f t="shared" si="5"/>
        <v>377325</v>
      </c>
      <c r="N56" s="526">
        <v>4539</v>
      </c>
      <c r="O56" s="575">
        <v>1450</v>
      </c>
      <c r="P56" s="576">
        <f t="shared" si="14"/>
        <v>1</v>
      </c>
      <c r="Q56" s="298">
        <f t="shared" si="6"/>
        <v>74904</v>
      </c>
      <c r="R56" s="530">
        <f t="shared" si="7"/>
        <v>393464</v>
      </c>
    </row>
    <row r="57" spans="1:18" ht="14.4" x14ac:dyDescent="0.3">
      <c r="A57" s="21" t="s">
        <v>51</v>
      </c>
      <c r="B57" s="558">
        <v>667</v>
      </c>
      <c r="C57" s="564">
        <f t="shared" si="15"/>
        <v>1040</v>
      </c>
      <c r="D57" s="565"/>
      <c r="E57" s="535">
        <v>0</v>
      </c>
      <c r="F57" s="547">
        <v>83</v>
      </c>
      <c r="G57" s="417">
        <v>16</v>
      </c>
      <c r="H57" s="22">
        <f t="shared" si="1"/>
        <v>17</v>
      </c>
      <c r="I57" s="545">
        <f t="shared" si="2"/>
        <v>16</v>
      </c>
      <c r="J57" s="538">
        <f t="shared" si="3"/>
        <v>0</v>
      </c>
      <c r="K57" s="554">
        <v>463360</v>
      </c>
      <c r="L57" s="433">
        <f t="shared" si="4"/>
        <v>464400</v>
      </c>
      <c r="M57" s="433">
        <f t="shared" si="5"/>
        <v>464400</v>
      </c>
      <c r="N57" s="526"/>
      <c r="O57" s="575"/>
      <c r="P57" s="576">
        <f t="shared" si="14"/>
        <v>0</v>
      </c>
      <c r="Q57" s="298">
        <f t="shared" si="6"/>
        <v>1040</v>
      </c>
      <c r="R57" s="530">
        <f t="shared" si="7"/>
        <v>464400</v>
      </c>
    </row>
    <row r="58" spans="1:18" ht="14.4" x14ac:dyDescent="0.3">
      <c r="A58" s="29" t="s">
        <v>62</v>
      </c>
      <c r="B58" s="558">
        <v>689</v>
      </c>
      <c r="C58" s="564">
        <f t="shared" ref="C58" si="16">Q58</f>
        <v>12354</v>
      </c>
      <c r="D58" s="565"/>
      <c r="E58" s="535">
        <v>2</v>
      </c>
      <c r="F58" s="547">
        <v>31</v>
      </c>
      <c r="G58" s="417">
        <v>2</v>
      </c>
      <c r="H58" s="22">
        <f t="shared" si="1"/>
        <v>7</v>
      </c>
      <c r="I58" s="545">
        <f t="shared" si="2"/>
        <v>2</v>
      </c>
      <c r="J58" s="538">
        <f t="shared" si="3"/>
        <v>0</v>
      </c>
      <c r="K58" s="554">
        <v>94112</v>
      </c>
      <c r="L58" s="433">
        <f t="shared" si="4"/>
        <v>58050</v>
      </c>
      <c r="M58" s="433">
        <f t="shared" si="5"/>
        <v>58050</v>
      </c>
      <c r="N58" s="526">
        <v>13616</v>
      </c>
      <c r="O58" s="575">
        <v>4350</v>
      </c>
      <c r="P58" s="576">
        <f t="shared" si="14"/>
        <v>3</v>
      </c>
      <c r="Q58" s="298">
        <f t="shared" si="6"/>
        <v>12354</v>
      </c>
      <c r="R58" s="530">
        <f t="shared" si="7"/>
        <v>106466</v>
      </c>
    </row>
    <row r="59" spans="1:18" ht="14.4" x14ac:dyDescent="0.3">
      <c r="B59" s="558">
        <v>690</v>
      </c>
      <c r="C59" s="562"/>
      <c r="D59" s="563"/>
      <c r="E59" s="535">
        <v>4</v>
      </c>
      <c r="F59" s="544">
        <v>65</v>
      </c>
      <c r="G59" s="413">
        <v>15</v>
      </c>
      <c r="H59" s="22">
        <f t="shared" si="1"/>
        <v>13</v>
      </c>
      <c r="I59" s="545">
        <v>15</v>
      </c>
      <c r="J59" s="538">
        <f t="shared" si="3"/>
        <v>0</v>
      </c>
      <c r="K59" s="554">
        <v>767424</v>
      </c>
      <c r="L59" s="433">
        <f>I59*$H$2</f>
        <v>435375</v>
      </c>
      <c r="M59" s="433">
        <f t="shared" si="5"/>
        <v>435375</v>
      </c>
      <c r="N59" s="526">
        <v>13616</v>
      </c>
      <c r="O59" s="575">
        <v>4350</v>
      </c>
      <c r="P59" s="576">
        <f t="shared" si="14"/>
        <v>3</v>
      </c>
      <c r="Q59" s="298">
        <f t="shared" si="6"/>
        <v>-283633</v>
      </c>
      <c r="R59" s="530">
        <f t="shared" si="7"/>
        <v>767424</v>
      </c>
    </row>
    <row r="60" spans="1:18" ht="14.4" x14ac:dyDescent="0.3">
      <c r="B60" s="558">
        <v>691</v>
      </c>
      <c r="C60" s="562"/>
      <c r="D60" s="563"/>
      <c r="E60" s="535">
        <v>4</v>
      </c>
      <c r="F60" s="544">
        <v>59</v>
      </c>
      <c r="G60" s="413">
        <v>10</v>
      </c>
      <c r="H60" s="22">
        <f t="shared" si="1"/>
        <v>12</v>
      </c>
      <c r="I60" s="545">
        <f t="shared" si="2"/>
        <v>10</v>
      </c>
      <c r="J60" s="538">
        <f t="shared" si="3"/>
        <v>0</v>
      </c>
      <c r="K60" s="554">
        <v>361984</v>
      </c>
      <c r="L60" s="433">
        <f t="shared" si="4"/>
        <v>290250</v>
      </c>
      <c r="M60" s="433">
        <f t="shared" si="5"/>
        <v>290250</v>
      </c>
      <c r="N60" s="526">
        <v>17458</v>
      </c>
      <c r="O60" s="575">
        <v>4350</v>
      </c>
      <c r="P60" s="576">
        <f t="shared" si="14"/>
        <v>3</v>
      </c>
      <c r="Q60" s="298">
        <f t="shared" si="6"/>
        <v>-19476</v>
      </c>
      <c r="R60" s="530">
        <f t="shared" si="7"/>
        <v>361984</v>
      </c>
    </row>
    <row r="61" spans="1:18" x14ac:dyDescent="0.25">
      <c r="A61" s="21" t="s">
        <v>55</v>
      </c>
      <c r="B61" s="559" t="s">
        <v>93</v>
      </c>
      <c r="C61" s="567"/>
      <c r="D61" s="568"/>
      <c r="E61" s="535">
        <v>1</v>
      </c>
      <c r="F61" s="544">
        <v>32</v>
      </c>
      <c r="G61" s="413">
        <v>3</v>
      </c>
      <c r="H61" s="22">
        <f t="shared" si="1"/>
        <v>7</v>
      </c>
      <c r="I61" s="545">
        <f t="shared" si="2"/>
        <v>3</v>
      </c>
      <c r="J61" s="538">
        <f t="shared" si="3"/>
        <v>0</v>
      </c>
      <c r="K61" s="554">
        <v>162896</v>
      </c>
      <c r="L61" s="433">
        <f t="shared" si="4"/>
        <v>87075</v>
      </c>
      <c r="M61" s="433">
        <f t="shared" si="5"/>
        <v>87075</v>
      </c>
      <c r="N61" s="527"/>
      <c r="O61" s="575"/>
      <c r="P61" s="576">
        <f t="shared" si="14"/>
        <v>0</v>
      </c>
      <c r="Q61" s="298">
        <f t="shared" si="6"/>
        <v>-75821</v>
      </c>
      <c r="R61" s="530">
        <f t="shared" si="7"/>
        <v>162896</v>
      </c>
    </row>
    <row r="62" spans="1:18" ht="14.4" x14ac:dyDescent="0.3">
      <c r="A62" s="21" t="s">
        <v>61</v>
      </c>
      <c r="B62" s="559" t="s">
        <v>94</v>
      </c>
      <c r="C62" s="564">
        <v>455</v>
      </c>
      <c r="D62" s="569"/>
      <c r="E62" s="535">
        <v>0</v>
      </c>
      <c r="F62" s="544">
        <v>29</v>
      </c>
      <c r="G62" s="413">
        <v>7</v>
      </c>
      <c r="H62" s="22">
        <f t="shared" si="1"/>
        <v>6</v>
      </c>
      <c r="I62" s="545">
        <v>7</v>
      </c>
      <c r="J62" s="538">
        <f t="shared" si="3"/>
        <v>0</v>
      </c>
      <c r="K62" s="554">
        <v>202720</v>
      </c>
      <c r="L62" s="433">
        <f t="shared" si="4"/>
        <v>203175</v>
      </c>
      <c r="M62" s="433">
        <f t="shared" si="5"/>
        <v>203175</v>
      </c>
      <c r="N62" s="526">
        <v>25687.72</v>
      </c>
      <c r="O62" s="575">
        <v>25687.72</v>
      </c>
      <c r="P62" s="576"/>
      <c r="Q62" s="298">
        <f t="shared" si="6"/>
        <v>26142.720000000001</v>
      </c>
      <c r="R62" s="530">
        <f t="shared" si="7"/>
        <v>203175</v>
      </c>
    </row>
    <row r="63" spans="1:18" ht="16.95" customHeight="1" x14ac:dyDescent="0.3">
      <c r="A63" s="21" t="s">
        <v>95</v>
      </c>
      <c r="B63" s="559" t="s">
        <v>96</v>
      </c>
      <c r="C63" s="567"/>
      <c r="D63" s="568">
        <v>-282345</v>
      </c>
      <c r="E63" s="535">
        <v>5</v>
      </c>
      <c r="F63" s="544">
        <v>68</v>
      </c>
      <c r="G63" s="413">
        <v>12</v>
      </c>
      <c r="H63" s="22">
        <f t="shared" si="1"/>
        <v>14</v>
      </c>
      <c r="I63" s="545">
        <f t="shared" si="2"/>
        <v>12</v>
      </c>
      <c r="J63" s="538">
        <f t="shared" si="3"/>
        <v>0</v>
      </c>
      <c r="K63" s="554">
        <v>809006</v>
      </c>
      <c r="L63" s="433">
        <f t="shared" si="4"/>
        <v>348300</v>
      </c>
      <c r="M63" s="433">
        <f t="shared" si="5"/>
        <v>348300</v>
      </c>
      <c r="N63" s="526">
        <v>33031</v>
      </c>
      <c r="O63" s="575">
        <v>10150</v>
      </c>
      <c r="P63" s="576">
        <f>O63/$O$2</f>
        <v>7</v>
      </c>
      <c r="Q63" s="298">
        <f t="shared" si="6"/>
        <v>-346475</v>
      </c>
      <c r="R63" s="530">
        <f t="shared" si="7"/>
        <v>526661</v>
      </c>
    </row>
    <row r="64" spans="1:18" ht="14.4" x14ac:dyDescent="0.3">
      <c r="A64" s="21" t="s">
        <v>52</v>
      </c>
      <c r="B64" s="559" t="s">
        <v>97</v>
      </c>
      <c r="C64" s="567"/>
      <c r="D64" s="568"/>
      <c r="E64" s="535">
        <v>1</v>
      </c>
      <c r="F64" s="544">
        <v>69</v>
      </c>
      <c r="G64" s="413">
        <v>11</v>
      </c>
      <c r="H64" s="22">
        <f t="shared" si="1"/>
        <v>14</v>
      </c>
      <c r="I64" s="545">
        <f t="shared" si="2"/>
        <v>11</v>
      </c>
      <c r="J64" s="538">
        <f t="shared" si="3"/>
        <v>0</v>
      </c>
      <c r="K64" s="554">
        <v>394576</v>
      </c>
      <c r="L64" s="433">
        <f t="shared" si="4"/>
        <v>319275</v>
      </c>
      <c r="M64" s="433">
        <f t="shared" si="5"/>
        <v>319275</v>
      </c>
      <c r="N64" s="526">
        <v>9077</v>
      </c>
      <c r="O64" s="575">
        <v>2900</v>
      </c>
      <c r="P64" s="576">
        <f>O64/$O$2</f>
        <v>2</v>
      </c>
      <c r="Q64" s="298">
        <f t="shared" si="6"/>
        <v>-43024</v>
      </c>
      <c r="R64" s="530">
        <f t="shared" si="7"/>
        <v>394576</v>
      </c>
    </row>
    <row r="65" spans="1:18" ht="14.4" x14ac:dyDescent="0.3">
      <c r="A65" s="21" t="s">
        <v>57</v>
      </c>
      <c r="B65" s="559" t="s">
        <v>98</v>
      </c>
      <c r="C65" s="567"/>
      <c r="D65" s="568"/>
      <c r="E65" s="535">
        <v>9</v>
      </c>
      <c r="F65" s="544">
        <v>90</v>
      </c>
      <c r="G65" s="413">
        <v>11</v>
      </c>
      <c r="H65" s="22">
        <f t="shared" si="1"/>
        <v>18</v>
      </c>
      <c r="I65" s="545">
        <f t="shared" si="2"/>
        <v>11</v>
      </c>
      <c r="J65" s="538">
        <f t="shared" si="3"/>
        <v>0</v>
      </c>
      <c r="K65" s="554">
        <v>539344</v>
      </c>
      <c r="L65" s="433">
        <f t="shared" si="4"/>
        <v>319275</v>
      </c>
      <c r="M65" s="433">
        <f t="shared" si="5"/>
        <v>319275</v>
      </c>
      <c r="N65" s="526">
        <v>53640</v>
      </c>
      <c r="O65" s="575">
        <v>1695</v>
      </c>
      <c r="P65" s="576">
        <v>1</v>
      </c>
      <c r="Q65" s="298">
        <f t="shared" si="6"/>
        <v>-154829</v>
      </c>
      <c r="R65" s="530">
        <f t="shared" si="7"/>
        <v>539344</v>
      </c>
    </row>
    <row r="66" spans="1:18" x14ac:dyDescent="0.25">
      <c r="A66" s="21" t="s">
        <v>99</v>
      </c>
      <c r="B66" s="559" t="s">
        <v>100</v>
      </c>
      <c r="C66" s="564">
        <f t="shared" ref="C66" si="17">Q66</f>
        <v>130</v>
      </c>
      <c r="D66" s="569"/>
      <c r="E66" s="535">
        <v>0</v>
      </c>
      <c r="F66" s="544">
        <v>22</v>
      </c>
      <c r="G66" s="413">
        <v>2</v>
      </c>
      <c r="H66" s="22">
        <f t="shared" si="1"/>
        <v>5</v>
      </c>
      <c r="I66" s="545">
        <f t="shared" si="2"/>
        <v>2</v>
      </c>
      <c r="J66" s="538">
        <f t="shared" si="3"/>
        <v>0</v>
      </c>
      <c r="K66" s="554">
        <v>57920</v>
      </c>
      <c r="L66" s="433">
        <f>I66*$H$2</f>
        <v>58050</v>
      </c>
      <c r="M66" s="433">
        <f t="shared" si="5"/>
        <v>58050</v>
      </c>
      <c r="N66" s="527"/>
      <c r="O66" s="575"/>
      <c r="P66" s="576">
        <f>O66/$O$2</f>
        <v>0</v>
      </c>
      <c r="Q66" s="298">
        <f t="shared" si="6"/>
        <v>130</v>
      </c>
      <c r="R66" s="530">
        <f t="shared" si="7"/>
        <v>58050</v>
      </c>
    </row>
    <row r="67" spans="1:18" ht="13.2" customHeight="1" x14ac:dyDescent="0.3">
      <c r="A67" s="21" t="s">
        <v>147</v>
      </c>
      <c r="B67" s="559" t="s">
        <v>101</v>
      </c>
      <c r="C67" s="567"/>
      <c r="D67" s="580">
        <v>-76192</v>
      </c>
      <c r="E67" s="535">
        <v>3</v>
      </c>
      <c r="F67" s="544">
        <v>59</v>
      </c>
      <c r="G67" s="413">
        <v>16</v>
      </c>
      <c r="H67" s="22">
        <f t="shared" si="1"/>
        <v>12</v>
      </c>
      <c r="I67" s="545">
        <v>12</v>
      </c>
      <c r="J67" s="538">
        <f t="shared" si="3"/>
        <v>0</v>
      </c>
      <c r="K67" s="554">
        <v>720368</v>
      </c>
      <c r="L67" s="433">
        <f t="shared" si="4"/>
        <v>348300</v>
      </c>
      <c r="M67" s="433">
        <f t="shared" si="5"/>
        <v>348300</v>
      </c>
      <c r="N67" s="526">
        <v>9077</v>
      </c>
      <c r="O67" s="575">
        <v>2900</v>
      </c>
      <c r="P67" s="576">
        <f>O67/$O$2</f>
        <v>2</v>
      </c>
      <c r="Q67" s="298">
        <f t="shared" si="6"/>
        <v>-339791</v>
      </c>
      <c r="R67" s="530">
        <f t="shared" si="7"/>
        <v>644176</v>
      </c>
    </row>
    <row r="68" spans="1:18" ht="14.4" x14ac:dyDescent="0.3">
      <c r="A68" s="21" t="s">
        <v>148</v>
      </c>
      <c r="B68" s="559" t="s">
        <v>102</v>
      </c>
      <c r="C68" s="567"/>
      <c r="D68" s="568"/>
      <c r="E68" s="535">
        <v>2</v>
      </c>
      <c r="F68" s="544">
        <v>72</v>
      </c>
      <c r="G68" s="413">
        <v>11</v>
      </c>
      <c r="H68" s="22">
        <f t="shared" si="1"/>
        <v>15</v>
      </c>
      <c r="I68" s="545">
        <f t="shared" ref="I68:I74" si="18">IF(G68&gt;H68,H68,G68)</f>
        <v>11</v>
      </c>
      <c r="J68" s="538">
        <f t="shared" si="3"/>
        <v>0</v>
      </c>
      <c r="K68" s="554">
        <v>470592</v>
      </c>
      <c r="L68" s="433">
        <f t="shared" si="4"/>
        <v>319275</v>
      </c>
      <c r="M68" s="433">
        <f t="shared" ref="M68:M74" si="19">J68+L68</f>
        <v>319275</v>
      </c>
      <c r="N68" s="526">
        <v>5611</v>
      </c>
      <c r="O68" s="575">
        <v>1450</v>
      </c>
      <c r="P68" s="576">
        <f>O68/$O$2</f>
        <v>1</v>
      </c>
      <c r="Q68" s="298">
        <f t="shared" si="6"/>
        <v>-134106</v>
      </c>
      <c r="R68" s="530">
        <f t="shared" si="7"/>
        <v>470592</v>
      </c>
    </row>
    <row r="69" spans="1:18" ht="14.4" x14ac:dyDescent="0.3">
      <c r="A69" s="21" t="s">
        <v>149</v>
      </c>
      <c r="B69" s="559" t="s">
        <v>103</v>
      </c>
      <c r="C69" s="564">
        <f t="shared" ref="C69" si="20">Q69</f>
        <v>16458</v>
      </c>
      <c r="D69" s="569"/>
      <c r="E69" s="535">
        <v>1</v>
      </c>
      <c r="F69" s="544">
        <v>13</v>
      </c>
      <c r="G69" s="413">
        <v>2</v>
      </c>
      <c r="H69" s="22">
        <f t="shared" ref="H69:H73" si="21">ROUNDUP(F69/5,0)</f>
        <v>3</v>
      </c>
      <c r="I69" s="545">
        <f t="shared" si="18"/>
        <v>2</v>
      </c>
      <c r="J69" s="538">
        <f t="shared" ref="J69:J74" si="22">E69*$I$2*12</f>
        <v>0</v>
      </c>
      <c r="K69" s="554">
        <v>76016</v>
      </c>
      <c r="L69" s="433">
        <f t="shared" ref="L69:L74" si="23">I69*$H$2</f>
        <v>58050</v>
      </c>
      <c r="M69" s="433">
        <f t="shared" si="19"/>
        <v>58050</v>
      </c>
      <c r="N69" s="526">
        <v>11224</v>
      </c>
      <c r="O69" s="575">
        <v>2900</v>
      </c>
      <c r="P69" s="576">
        <f t="shared" ref="P69:P73" si="24">O69/$O$2</f>
        <v>2</v>
      </c>
      <c r="Q69" s="298">
        <f t="shared" ref="Q69:Q74" si="25">(L69+N69+(P69*$P$2*$O$2))-K69</f>
        <v>16458</v>
      </c>
      <c r="R69" s="530">
        <f t="shared" ref="R69:R74" si="26">K69+C69+D69</f>
        <v>92474</v>
      </c>
    </row>
    <row r="70" spans="1:18" x14ac:dyDescent="0.25">
      <c r="A70" s="21" t="s">
        <v>56</v>
      </c>
      <c r="B70" s="559" t="s">
        <v>69</v>
      </c>
      <c r="C70" s="567"/>
      <c r="D70" s="568"/>
      <c r="E70" s="535">
        <v>0</v>
      </c>
      <c r="F70" s="544">
        <v>14</v>
      </c>
      <c r="G70" s="413">
        <v>2</v>
      </c>
      <c r="H70" s="22">
        <f>ROUNDUP(F70/5,0)</f>
        <v>3</v>
      </c>
      <c r="I70" s="545">
        <f t="shared" si="18"/>
        <v>2</v>
      </c>
      <c r="J70" s="538">
        <f t="shared" si="22"/>
        <v>0</v>
      </c>
      <c r="K70" s="554">
        <v>115840</v>
      </c>
      <c r="L70" s="433">
        <f t="shared" si="23"/>
        <v>58050</v>
      </c>
      <c r="M70" s="433">
        <f t="shared" si="19"/>
        <v>58050</v>
      </c>
      <c r="N70" s="527"/>
      <c r="O70" s="575"/>
      <c r="P70" s="576">
        <f t="shared" si="24"/>
        <v>0</v>
      </c>
      <c r="Q70" s="298">
        <f t="shared" si="25"/>
        <v>-57790</v>
      </c>
      <c r="R70" s="530">
        <f t="shared" si="26"/>
        <v>115840</v>
      </c>
    </row>
    <row r="71" spans="1:18" ht="30.75" customHeight="1" x14ac:dyDescent="0.25">
      <c r="A71" s="21" t="s">
        <v>53</v>
      </c>
      <c r="B71" s="560" t="s">
        <v>104</v>
      </c>
      <c r="C71" s="564">
        <f t="shared" ref="C71" si="27">Q71</f>
        <v>40409</v>
      </c>
      <c r="D71" s="570"/>
      <c r="E71" s="535">
        <v>1</v>
      </c>
      <c r="F71" s="544">
        <v>43</v>
      </c>
      <c r="G71" s="413">
        <v>19</v>
      </c>
      <c r="H71" s="22">
        <f t="shared" si="21"/>
        <v>9</v>
      </c>
      <c r="I71" s="545">
        <f t="shared" si="18"/>
        <v>9</v>
      </c>
      <c r="J71" s="538">
        <f t="shared" si="22"/>
        <v>0</v>
      </c>
      <c r="K71" s="554">
        <v>220816</v>
      </c>
      <c r="L71" s="433">
        <f t="shared" si="23"/>
        <v>261225</v>
      </c>
      <c r="M71" s="433">
        <f t="shared" si="19"/>
        <v>261225</v>
      </c>
      <c r="N71" s="527"/>
      <c r="O71" s="575"/>
      <c r="P71" s="576">
        <f t="shared" si="24"/>
        <v>0</v>
      </c>
      <c r="Q71" s="298">
        <f>L71-K71</f>
        <v>40409</v>
      </c>
      <c r="R71" s="530">
        <f t="shared" si="26"/>
        <v>261225</v>
      </c>
    </row>
    <row r="72" spans="1:18" ht="14.4" x14ac:dyDescent="0.3">
      <c r="A72" s="21" t="s">
        <v>58</v>
      </c>
      <c r="B72" s="559" t="s">
        <v>105</v>
      </c>
      <c r="C72" s="567"/>
      <c r="D72" s="568"/>
      <c r="E72" s="535">
        <v>1</v>
      </c>
      <c r="F72" s="544">
        <v>34</v>
      </c>
      <c r="G72" s="413">
        <v>7</v>
      </c>
      <c r="H72" s="22">
        <f t="shared" si="21"/>
        <v>7</v>
      </c>
      <c r="I72" s="545">
        <f t="shared" si="18"/>
        <v>7</v>
      </c>
      <c r="J72" s="538">
        <f t="shared" si="22"/>
        <v>0</v>
      </c>
      <c r="K72" s="554">
        <v>278736</v>
      </c>
      <c r="L72" s="433">
        <f t="shared" si="23"/>
        <v>203175</v>
      </c>
      <c r="M72" s="433">
        <f t="shared" si="19"/>
        <v>203175</v>
      </c>
      <c r="N72" s="526">
        <v>4351</v>
      </c>
      <c r="O72" s="575">
        <v>1450</v>
      </c>
      <c r="P72" s="576">
        <f t="shared" si="24"/>
        <v>1</v>
      </c>
      <c r="Q72" s="298">
        <f t="shared" si="25"/>
        <v>-59610</v>
      </c>
      <c r="R72" s="530">
        <f t="shared" si="26"/>
        <v>278736</v>
      </c>
    </row>
    <row r="73" spans="1:18" ht="27.75" customHeight="1" x14ac:dyDescent="0.3">
      <c r="A73" s="21" t="s">
        <v>54</v>
      </c>
      <c r="B73" s="560" t="s">
        <v>106</v>
      </c>
      <c r="C73" s="571"/>
      <c r="D73" s="572"/>
      <c r="E73" s="535">
        <v>1</v>
      </c>
      <c r="F73" s="544">
        <v>62</v>
      </c>
      <c r="G73" s="413">
        <v>13</v>
      </c>
      <c r="H73" s="22">
        <f t="shared" si="21"/>
        <v>13</v>
      </c>
      <c r="I73" s="545">
        <f t="shared" si="18"/>
        <v>13</v>
      </c>
      <c r="J73" s="538">
        <f t="shared" si="22"/>
        <v>0</v>
      </c>
      <c r="K73" s="554">
        <v>423536</v>
      </c>
      <c r="L73" s="433">
        <f t="shared" si="23"/>
        <v>377325</v>
      </c>
      <c r="M73" s="433">
        <f t="shared" si="19"/>
        <v>377325</v>
      </c>
      <c r="N73" s="526">
        <v>4726</v>
      </c>
      <c r="O73" s="575">
        <v>1450</v>
      </c>
      <c r="P73" s="576">
        <f t="shared" si="24"/>
        <v>1</v>
      </c>
      <c r="Q73" s="298">
        <f t="shared" si="25"/>
        <v>-29885</v>
      </c>
      <c r="R73" s="530">
        <f t="shared" si="26"/>
        <v>423536</v>
      </c>
    </row>
    <row r="74" spans="1:18" x14ac:dyDescent="0.25">
      <c r="A74" s="21" t="s">
        <v>107</v>
      </c>
      <c r="B74" s="559" t="s">
        <v>108</v>
      </c>
      <c r="C74" s="564">
        <f t="shared" ref="C74" si="28">Q74</f>
        <v>325</v>
      </c>
      <c r="D74" s="569"/>
      <c r="E74" s="535">
        <v>0</v>
      </c>
      <c r="F74" s="544">
        <v>43</v>
      </c>
      <c r="G74" s="413">
        <v>5</v>
      </c>
      <c r="H74" s="22">
        <f>ROUNDUP(F74/5,0)</f>
        <v>9</v>
      </c>
      <c r="I74" s="545">
        <f t="shared" si="18"/>
        <v>5</v>
      </c>
      <c r="J74" s="538">
        <f t="shared" si="22"/>
        <v>0</v>
      </c>
      <c r="K74" s="554">
        <v>144800</v>
      </c>
      <c r="L74" s="433">
        <f t="shared" si="23"/>
        <v>145125</v>
      </c>
      <c r="M74" s="433">
        <f t="shared" si="19"/>
        <v>145125</v>
      </c>
      <c r="N74" s="527"/>
      <c r="O74" s="575"/>
      <c r="P74" s="576"/>
      <c r="Q74" s="298">
        <f t="shared" si="25"/>
        <v>325</v>
      </c>
      <c r="R74" s="530">
        <f t="shared" si="26"/>
        <v>145125</v>
      </c>
    </row>
    <row r="75" spans="1:18" s="35" customFormat="1" ht="30.6" customHeight="1" thickBot="1" x14ac:dyDescent="0.35">
      <c r="A75" s="30"/>
      <c r="B75" s="561" t="s">
        <v>91</v>
      </c>
      <c r="C75" s="573"/>
      <c r="D75" s="574"/>
      <c r="E75" s="536">
        <f>SUM(E4:E74)</f>
        <v>129</v>
      </c>
      <c r="F75" s="548">
        <f t="shared" ref="F75:G75" si="29">SUM(F4:F74)</f>
        <v>4228</v>
      </c>
      <c r="G75" s="549">
        <f t="shared" si="29"/>
        <v>813</v>
      </c>
      <c r="H75" s="550">
        <f>SUM(H4:H74)</f>
        <v>873</v>
      </c>
      <c r="I75" s="551">
        <f t="shared" ref="I75:J75" si="30">SUM(I4:I74)</f>
        <v>752</v>
      </c>
      <c r="J75" s="539">
        <f t="shared" si="30"/>
        <v>0</v>
      </c>
      <c r="K75" s="555">
        <f>SUM(K4:K74)</f>
        <v>26829070</v>
      </c>
      <c r="L75" s="409">
        <f>SUM(L4:L74)</f>
        <v>21826800</v>
      </c>
      <c r="M75" s="409">
        <f>J75+L75</f>
        <v>21826800</v>
      </c>
      <c r="N75" s="531">
        <f>SUM(N4:N74)</f>
        <v>715516.5</v>
      </c>
      <c r="O75" s="557">
        <f t="shared" ref="O75:Q75" si="31">SUM(O4:O74)</f>
        <v>211811.72</v>
      </c>
      <c r="P75" s="551">
        <f t="shared" si="31"/>
        <v>128</v>
      </c>
      <c r="Q75" s="539">
        <f t="shared" si="31"/>
        <v>-2801953.5</v>
      </c>
    </row>
    <row r="77" spans="1:18" x14ac:dyDescent="0.25">
      <c r="C77" s="532">
        <f>SUBTOTAL(9,C9:C74)</f>
        <v>1158537</v>
      </c>
      <c r="D77" s="533">
        <f>SUBTOTAL(9,D4:D75)</f>
        <v>-1158537</v>
      </c>
      <c r="K77" s="323"/>
    </row>
    <row r="78" spans="1:18" x14ac:dyDescent="0.25">
      <c r="D78" s="124">
        <f>C77+D77</f>
        <v>0</v>
      </c>
    </row>
    <row r="79" spans="1:18" x14ac:dyDescent="0.25">
      <c r="C79" s="522" t="s">
        <v>341</v>
      </c>
      <c r="D79" s="522" t="s">
        <v>342</v>
      </c>
      <c r="K79" s="323"/>
    </row>
    <row r="80" spans="1:18" x14ac:dyDescent="0.25">
      <c r="B80" s="423" t="s">
        <v>101</v>
      </c>
      <c r="C80" s="524">
        <v>12</v>
      </c>
      <c r="D80" s="581">
        <f>C80*$H$2</f>
        <v>348300</v>
      </c>
    </row>
    <row r="81" spans="2:15" x14ac:dyDescent="0.25">
      <c r="B81" s="423" t="s">
        <v>102</v>
      </c>
      <c r="C81" s="524">
        <v>11</v>
      </c>
      <c r="D81" s="581">
        <f t="shared" ref="D81:D82" si="32">C81*$H$2</f>
        <v>319275</v>
      </c>
    </row>
    <row r="82" spans="2:15" x14ac:dyDescent="0.25">
      <c r="B82" s="423" t="s">
        <v>103</v>
      </c>
      <c r="C82" s="524">
        <v>2</v>
      </c>
      <c r="D82" s="581">
        <f t="shared" si="32"/>
        <v>58050</v>
      </c>
    </row>
    <row r="84" spans="2:15" ht="13.8" x14ac:dyDescent="0.3">
      <c r="N84" s="35"/>
    </row>
    <row r="85" spans="2:15" ht="13.8" x14ac:dyDescent="0.3">
      <c r="O85" s="577"/>
    </row>
    <row r="87" spans="2:15" ht="14.4" x14ac:dyDescent="0.3">
      <c r="L87" s="523" t="s">
        <v>185</v>
      </c>
      <c r="M87" s="523" t="s">
        <v>331</v>
      </c>
    </row>
  </sheetData>
  <autoFilter ref="A3:S75" xr:uid="{00000000-0009-0000-0000-000001000000}"/>
  <mergeCells count="2">
    <mergeCell ref="C3:D3"/>
    <mergeCell ref="B1:G1"/>
  </mergeCells>
  <pageMargins left="0" right="0" top="0" bottom="0" header="0.31496062992125984" footer="0.31496062992125984"/>
  <pageSetup paperSize="9" scale="6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L81"/>
  <sheetViews>
    <sheetView zoomScaleNormal="100" workbookViewId="0">
      <selection activeCell="B44" sqref="A44:XFD44"/>
    </sheetView>
  </sheetViews>
  <sheetFormatPr defaultColWidth="8.33203125" defaultRowHeight="13.2" x14ac:dyDescent="0.25"/>
  <cols>
    <col min="1" max="1" width="3.33203125" style="21" customWidth="1"/>
    <col min="2" max="2" width="15.6640625" style="437" customWidth="1"/>
    <col min="3" max="3" width="7.5546875" style="408" customWidth="1"/>
    <col min="4" max="4" width="8.5546875" style="437" bestFit="1" customWidth="1"/>
    <col min="5" max="5" width="8.33203125" style="437"/>
    <col min="6" max="6" width="10.6640625" style="407" customWidth="1"/>
    <col min="7" max="7" width="11.33203125" style="443" customWidth="1"/>
    <col min="8" max="8" width="13.33203125" style="8" customWidth="1"/>
    <col min="9" max="9" width="16.5546875" style="429" customWidth="1"/>
    <col min="10" max="10" width="13" style="7" customWidth="1"/>
    <col min="11" max="16384" width="8.33203125" style="7"/>
  </cols>
  <sheetData>
    <row r="1" spans="1:12" ht="13.95" customHeight="1" x14ac:dyDescent="0.25">
      <c r="A1" s="180" t="s">
        <v>78</v>
      </c>
    </row>
    <row r="2" spans="1:12" s="10" customFormat="1" ht="11.4" customHeight="1" x14ac:dyDescent="0.3">
      <c r="A2" s="9"/>
      <c r="C2" s="12"/>
      <c r="E2" s="432" t="s">
        <v>80</v>
      </c>
      <c r="F2" s="439">
        <f>11584*2.5</f>
        <v>28960</v>
      </c>
      <c r="G2" s="444">
        <f>1450*1.04</f>
        <v>1508</v>
      </c>
      <c r="H2" s="12" t="s">
        <v>181</v>
      </c>
      <c r="I2" s="12" t="s">
        <v>180</v>
      </c>
    </row>
    <row r="3" spans="1:12" s="10" customFormat="1" ht="61.95" customHeight="1" x14ac:dyDescent="0.3">
      <c r="A3" s="9"/>
      <c r="B3" s="436"/>
      <c r="C3" s="420" t="s">
        <v>122</v>
      </c>
      <c r="D3" s="410" t="s">
        <v>177</v>
      </c>
      <c r="E3" s="411" t="s">
        <v>127</v>
      </c>
      <c r="F3" s="17" t="s">
        <v>83</v>
      </c>
      <c r="G3" s="425" t="s">
        <v>84</v>
      </c>
      <c r="H3" s="430" t="s">
        <v>179</v>
      </c>
      <c r="I3" s="430" t="s">
        <v>183</v>
      </c>
      <c r="J3" s="436" t="s">
        <v>114</v>
      </c>
    </row>
    <row r="4" spans="1:12" x14ac:dyDescent="0.25">
      <c r="A4" s="21" t="s">
        <v>9</v>
      </c>
      <c r="B4" s="422">
        <v>13</v>
      </c>
      <c r="C4" s="412">
        <v>4</v>
      </c>
      <c r="D4" s="412">
        <v>59</v>
      </c>
      <c r="E4" s="413">
        <v>10</v>
      </c>
      <c r="F4" s="22">
        <f>ROUNDUP(D4/5,0)</f>
        <v>12</v>
      </c>
      <c r="G4" s="441">
        <f>IF(E4&gt;F4,F4,E4)</f>
        <v>10</v>
      </c>
      <c r="H4" s="433">
        <f>C4*$G$2*12</f>
        <v>72384</v>
      </c>
      <c r="I4" s="433">
        <f>G4*$F$2</f>
        <v>289600</v>
      </c>
      <c r="J4" s="433">
        <f>H4+I4</f>
        <v>361984</v>
      </c>
      <c r="L4" s="38"/>
    </row>
    <row r="5" spans="1:12" x14ac:dyDescent="0.25">
      <c r="A5" s="21" t="s">
        <v>10</v>
      </c>
      <c r="B5" s="422">
        <v>14</v>
      </c>
      <c r="C5" s="412">
        <v>0</v>
      </c>
      <c r="D5" s="412">
        <v>39</v>
      </c>
      <c r="E5" s="413">
        <v>7</v>
      </c>
      <c r="F5" s="22">
        <f t="shared" ref="F5:F67" si="0">ROUNDUP(D5/5,0)</f>
        <v>8</v>
      </c>
      <c r="G5" s="441">
        <f t="shared" ref="G5:G66" si="1">IF(E5&gt;F5,F5,E5)</f>
        <v>7</v>
      </c>
      <c r="H5" s="433">
        <f t="shared" ref="H5:H67" si="2">C5*$G$2*12</f>
        <v>0</v>
      </c>
      <c r="I5" s="433">
        <f t="shared" ref="I5:I67" si="3">G5*$F$2</f>
        <v>202720</v>
      </c>
      <c r="J5" s="433">
        <f t="shared" ref="J5:J67" si="4">H5+I5</f>
        <v>202720</v>
      </c>
      <c r="L5" s="38"/>
    </row>
    <row r="6" spans="1:12" x14ac:dyDescent="0.25">
      <c r="A6" s="21" t="s">
        <v>44</v>
      </c>
      <c r="B6" s="422">
        <v>17</v>
      </c>
      <c r="C6" s="412">
        <v>3</v>
      </c>
      <c r="D6" s="412">
        <v>77</v>
      </c>
      <c r="E6" s="413">
        <v>15</v>
      </c>
      <c r="F6" s="22">
        <f t="shared" si="0"/>
        <v>16</v>
      </c>
      <c r="G6" s="441">
        <f t="shared" si="1"/>
        <v>15</v>
      </c>
      <c r="H6" s="433">
        <f t="shared" si="2"/>
        <v>54288</v>
      </c>
      <c r="I6" s="433">
        <f t="shared" si="3"/>
        <v>434400</v>
      </c>
      <c r="J6" s="433">
        <f t="shared" si="4"/>
        <v>488688</v>
      </c>
      <c r="L6" s="38"/>
    </row>
    <row r="7" spans="1:12" x14ac:dyDescent="0.25">
      <c r="A7" s="26" t="s">
        <v>6</v>
      </c>
      <c r="B7" s="422">
        <v>20</v>
      </c>
      <c r="C7" s="412">
        <v>4</v>
      </c>
      <c r="D7" s="412">
        <v>77</v>
      </c>
      <c r="E7" s="413">
        <v>11</v>
      </c>
      <c r="F7" s="22">
        <f t="shared" si="0"/>
        <v>16</v>
      </c>
      <c r="G7" s="441">
        <f t="shared" si="1"/>
        <v>11</v>
      </c>
      <c r="H7" s="433">
        <f t="shared" si="2"/>
        <v>72384</v>
      </c>
      <c r="I7" s="433">
        <f t="shared" si="3"/>
        <v>318560</v>
      </c>
      <c r="J7" s="433">
        <f t="shared" si="4"/>
        <v>390944</v>
      </c>
      <c r="L7" s="38"/>
    </row>
    <row r="8" spans="1:12" x14ac:dyDescent="0.25">
      <c r="A8" s="21" t="s">
        <v>45</v>
      </c>
      <c r="B8" s="422">
        <v>23</v>
      </c>
      <c r="C8" s="107">
        <v>1</v>
      </c>
      <c r="D8" s="412">
        <v>71</v>
      </c>
      <c r="E8" s="413">
        <v>12</v>
      </c>
      <c r="F8" s="22">
        <f t="shared" si="0"/>
        <v>15</v>
      </c>
      <c r="G8" s="441">
        <f t="shared" si="1"/>
        <v>12</v>
      </c>
      <c r="H8" s="433">
        <f t="shared" si="2"/>
        <v>18096</v>
      </c>
      <c r="I8" s="433">
        <f t="shared" si="3"/>
        <v>347520</v>
      </c>
      <c r="J8" s="433">
        <f t="shared" si="4"/>
        <v>365616</v>
      </c>
      <c r="L8" s="38"/>
    </row>
    <row r="9" spans="1:12" x14ac:dyDescent="0.25">
      <c r="A9" s="21" t="s">
        <v>11</v>
      </c>
      <c r="B9" s="422">
        <v>26</v>
      </c>
      <c r="C9" s="412">
        <v>2</v>
      </c>
      <c r="D9" s="412">
        <v>63</v>
      </c>
      <c r="E9" s="413">
        <v>15</v>
      </c>
      <c r="F9" s="22">
        <f t="shared" si="0"/>
        <v>13</v>
      </c>
      <c r="G9" s="441">
        <v>15</v>
      </c>
      <c r="H9" s="433">
        <f t="shared" si="2"/>
        <v>36192</v>
      </c>
      <c r="I9" s="433">
        <f t="shared" si="3"/>
        <v>434400</v>
      </c>
      <c r="J9" s="433">
        <f t="shared" si="4"/>
        <v>470592</v>
      </c>
      <c r="L9" s="38"/>
    </row>
    <row r="10" spans="1:12" x14ac:dyDescent="0.25">
      <c r="A10" s="21" t="s">
        <v>46</v>
      </c>
      <c r="B10" s="422">
        <v>34</v>
      </c>
      <c r="C10" s="412">
        <v>1</v>
      </c>
      <c r="D10" s="412">
        <v>87</v>
      </c>
      <c r="E10" s="413">
        <v>17</v>
      </c>
      <c r="F10" s="22">
        <f t="shared" si="0"/>
        <v>18</v>
      </c>
      <c r="G10" s="441">
        <f t="shared" si="1"/>
        <v>17</v>
      </c>
      <c r="H10" s="433">
        <f t="shared" si="2"/>
        <v>18096</v>
      </c>
      <c r="I10" s="433">
        <f t="shared" si="3"/>
        <v>492320</v>
      </c>
      <c r="J10" s="433">
        <f t="shared" si="4"/>
        <v>510416</v>
      </c>
      <c r="L10" s="38"/>
    </row>
    <row r="11" spans="1:12" x14ac:dyDescent="0.25">
      <c r="A11" s="21" t="s">
        <v>24</v>
      </c>
      <c r="B11" s="422">
        <v>39</v>
      </c>
      <c r="C11" s="412">
        <v>1</v>
      </c>
      <c r="D11" s="412">
        <v>45</v>
      </c>
      <c r="E11" s="413">
        <v>8</v>
      </c>
      <c r="F11" s="22">
        <f t="shared" si="0"/>
        <v>9</v>
      </c>
      <c r="G11" s="441">
        <f t="shared" si="1"/>
        <v>8</v>
      </c>
      <c r="H11" s="433">
        <f t="shared" si="2"/>
        <v>18096</v>
      </c>
      <c r="I11" s="433">
        <f t="shared" si="3"/>
        <v>231680</v>
      </c>
      <c r="J11" s="433">
        <f t="shared" si="4"/>
        <v>249776</v>
      </c>
      <c r="L11" s="38"/>
    </row>
    <row r="12" spans="1:12" x14ac:dyDescent="0.25">
      <c r="A12" s="21" t="s">
        <v>43</v>
      </c>
      <c r="B12" s="422">
        <v>268</v>
      </c>
      <c r="C12" s="412">
        <v>0</v>
      </c>
      <c r="D12" s="412">
        <v>52</v>
      </c>
      <c r="E12" s="413">
        <v>11</v>
      </c>
      <c r="F12" s="22">
        <f t="shared" si="0"/>
        <v>11</v>
      </c>
      <c r="G12" s="441">
        <f t="shared" si="1"/>
        <v>11</v>
      </c>
      <c r="H12" s="433">
        <f t="shared" si="2"/>
        <v>0</v>
      </c>
      <c r="I12" s="433">
        <f t="shared" si="3"/>
        <v>318560</v>
      </c>
      <c r="J12" s="433">
        <f t="shared" si="4"/>
        <v>318560</v>
      </c>
      <c r="L12" s="38"/>
    </row>
    <row r="13" spans="1:12" x14ac:dyDescent="0.25">
      <c r="A13" s="21" t="s">
        <v>5</v>
      </c>
      <c r="B13" s="422">
        <v>323</v>
      </c>
      <c r="C13" s="412">
        <v>3</v>
      </c>
      <c r="D13" s="412">
        <v>59</v>
      </c>
      <c r="E13" s="413">
        <v>16</v>
      </c>
      <c r="F13" s="22">
        <f t="shared" si="0"/>
        <v>12</v>
      </c>
      <c r="G13" s="441">
        <v>16</v>
      </c>
      <c r="H13" s="433">
        <f t="shared" si="2"/>
        <v>54288</v>
      </c>
      <c r="I13" s="433">
        <f t="shared" si="3"/>
        <v>463360</v>
      </c>
      <c r="J13" s="433">
        <f>H13+I13</f>
        <v>517648</v>
      </c>
      <c r="L13" s="38"/>
    </row>
    <row r="14" spans="1:12" x14ac:dyDescent="0.25">
      <c r="A14" s="21" t="s">
        <v>39</v>
      </c>
      <c r="B14" s="422">
        <v>326</v>
      </c>
      <c r="C14" s="412">
        <v>0</v>
      </c>
      <c r="D14" s="412">
        <v>39</v>
      </c>
      <c r="E14" s="413">
        <v>9</v>
      </c>
      <c r="F14" s="22">
        <f t="shared" si="0"/>
        <v>8</v>
      </c>
      <c r="G14" s="441">
        <v>9</v>
      </c>
      <c r="H14" s="433">
        <f t="shared" si="2"/>
        <v>0</v>
      </c>
      <c r="I14" s="433">
        <f t="shared" si="3"/>
        <v>260640</v>
      </c>
      <c r="J14" s="433">
        <f t="shared" si="4"/>
        <v>260640</v>
      </c>
      <c r="L14" s="38"/>
    </row>
    <row r="15" spans="1:12" x14ac:dyDescent="0.25">
      <c r="A15" s="21" t="s">
        <v>12</v>
      </c>
      <c r="B15" s="422">
        <v>327</v>
      </c>
      <c r="C15" s="412">
        <v>0</v>
      </c>
      <c r="D15" s="412">
        <v>62</v>
      </c>
      <c r="E15" s="413">
        <v>8</v>
      </c>
      <c r="F15" s="22">
        <f t="shared" si="0"/>
        <v>13</v>
      </c>
      <c r="G15" s="441">
        <f t="shared" si="1"/>
        <v>8</v>
      </c>
      <c r="H15" s="433">
        <f t="shared" si="2"/>
        <v>0</v>
      </c>
      <c r="I15" s="433">
        <f t="shared" si="3"/>
        <v>231680</v>
      </c>
      <c r="J15" s="433">
        <f t="shared" si="4"/>
        <v>231680</v>
      </c>
      <c r="L15" s="38"/>
    </row>
    <row r="16" spans="1:12" x14ac:dyDescent="0.25">
      <c r="A16" s="21" t="s">
        <v>13</v>
      </c>
      <c r="B16" s="422">
        <v>328</v>
      </c>
      <c r="C16" s="412">
        <v>0</v>
      </c>
      <c r="D16" s="412">
        <v>56</v>
      </c>
      <c r="E16" s="413">
        <v>13</v>
      </c>
      <c r="F16" s="22">
        <f t="shared" si="0"/>
        <v>12</v>
      </c>
      <c r="G16" s="441">
        <v>13</v>
      </c>
      <c r="H16" s="433">
        <f t="shared" si="2"/>
        <v>0</v>
      </c>
      <c r="I16" s="433">
        <f t="shared" si="3"/>
        <v>376480</v>
      </c>
      <c r="J16" s="433">
        <f t="shared" si="4"/>
        <v>376480</v>
      </c>
      <c r="L16" s="38"/>
    </row>
    <row r="17" spans="1:12" x14ac:dyDescent="0.25">
      <c r="A17" s="21" t="s">
        <v>14</v>
      </c>
      <c r="B17" s="422">
        <v>329</v>
      </c>
      <c r="C17" s="412">
        <v>0</v>
      </c>
      <c r="D17" s="414">
        <v>58</v>
      </c>
      <c r="E17" s="415">
        <v>13</v>
      </c>
      <c r="F17" s="22">
        <f t="shared" si="0"/>
        <v>12</v>
      </c>
      <c r="G17" s="441">
        <v>13</v>
      </c>
      <c r="H17" s="433">
        <f t="shared" si="2"/>
        <v>0</v>
      </c>
      <c r="I17" s="433">
        <f t="shared" si="3"/>
        <v>376480</v>
      </c>
      <c r="J17" s="433">
        <f t="shared" si="4"/>
        <v>376480</v>
      </c>
      <c r="L17" s="38"/>
    </row>
    <row r="18" spans="1:12" x14ac:dyDescent="0.25">
      <c r="A18" s="21" t="s">
        <v>47</v>
      </c>
      <c r="B18" s="422">
        <v>330</v>
      </c>
      <c r="C18" s="412">
        <v>1</v>
      </c>
      <c r="D18" s="412">
        <v>57</v>
      </c>
      <c r="E18" s="413">
        <v>10</v>
      </c>
      <c r="F18" s="22">
        <f t="shared" si="0"/>
        <v>12</v>
      </c>
      <c r="G18" s="441">
        <f t="shared" si="1"/>
        <v>10</v>
      </c>
      <c r="H18" s="433">
        <f t="shared" si="2"/>
        <v>18096</v>
      </c>
      <c r="I18" s="433">
        <f t="shared" si="3"/>
        <v>289600</v>
      </c>
      <c r="J18" s="433">
        <f t="shared" si="4"/>
        <v>307696</v>
      </c>
      <c r="L18" s="38"/>
    </row>
    <row r="19" spans="1:12" x14ac:dyDescent="0.25">
      <c r="A19" s="21" t="s">
        <v>48</v>
      </c>
      <c r="B19" s="422">
        <v>331</v>
      </c>
      <c r="C19" s="412">
        <v>1</v>
      </c>
      <c r="D19" s="412">
        <v>40</v>
      </c>
      <c r="E19" s="413">
        <v>8</v>
      </c>
      <c r="F19" s="22">
        <f t="shared" si="0"/>
        <v>8</v>
      </c>
      <c r="G19" s="441">
        <f t="shared" si="1"/>
        <v>8</v>
      </c>
      <c r="H19" s="433">
        <f t="shared" si="2"/>
        <v>18096</v>
      </c>
      <c r="I19" s="433">
        <f t="shared" si="3"/>
        <v>231680</v>
      </c>
      <c r="J19" s="433">
        <f t="shared" si="4"/>
        <v>249776</v>
      </c>
      <c r="L19" s="38"/>
    </row>
    <row r="20" spans="1:12" x14ac:dyDescent="0.25">
      <c r="A20" s="21" t="s">
        <v>0</v>
      </c>
      <c r="B20" s="422">
        <v>332</v>
      </c>
      <c r="C20" s="412">
        <v>1</v>
      </c>
      <c r="D20" s="412">
        <v>69</v>
      </c>
      <c r="E20" s="413">
        <v>11</v>
      </c>
      <c r="F20" s="22">
        <f t="shared" si="0"/>
        <v>14</v>
      </c>
      <c r="G20" s="441">
        <f t="shared" si="1"/>
        <v>11</v>
      </c>
      <c r="H20" s="433">
        <f t="shared" si="2"/>
        <v>18096</v>
      </c>
      <c r="I20" s="433">
        <f t="shared" si="3"/>
        <v>318560</v>
      </c>
      <c r="J20" s="433">
        <f t="shared" si="4"/>
        <v>336656</v>
      </c>
      <c r="L20" s="38"/>
    </row>
    <row r="21" spans="1:12" x14ac:dyDescent="0.25">
      <c r="A21" s="21" t="s">
        <v>1</v>
      </c>
      <c r="B21" s="422">
        <v>333</v>
      </c>
      <c r="C21" s="412">
        <v>4</v>
      </c>
      <c r="D21" s="412">
        <v>72</v>
      </c>
      <c r="E21" s="413">
        <v>24</v>
      </c>
      <c r="F21" s="22">
        <f t="shared" si="0"/>
        <v>15</v>
      </c>
      <c r="G21" s="441">
        <v>24</v>
      </c>
      <c r="H21" s="433">
        <f t="shared" si="2"/>
        <v>72384</v>
      </c>
      <c r="I21" s="433">
        <f t="shared" si="3"/>
        <v>695040</v>
      </c>
      <c r="J21" s="433">
        <f t="shared" si="4"/>
        <v>767424</v>
      </c>
      <c r="L21" s="38"/>
    </row>
    <row r="22" spans="1:12" x14ac:dyDescent="0.25">
      <c r="A22" s="21" t="s">
        <v>2</v>
      </c>
      <c r="B22" s="422">
        <v>334</v>
      </c>
      <c r="C22" s="412">
        <v>2</v>
      </c>
      <c r="D22" s="412">
        <v>39</v>
      </c>
      <c r="E22" s="413">
        <v>8</v>
      </c>
      <c r="F22" s="22">
        <f t="shared" si="0"/>
        <v>8</v>
      </c>
      <c r="G22" s="441">
        <f t="shared" si="1"/>
        <v>8</v>
      </c>
      <c r="H22" s="433">
        <f t="shared" si="2"/>
        <v>36192</v>
      </c>
      <c r="I22" s="433">
        <f t="shared" si="3"/>
        <v>231680</v>
      </c>
      <c r="J22" s="433">
        <f t="shared" si="4"/>
        <v>267872</v>
      </c>
      <c r="L22" s="38"/>
    </row>
    <row r="23" spans="1:12" x14ac:dyDescent="0.25">
      <c r="A23" s="21" t="s">
        <v>3</v>
      </c>
      <c r="B23" s="422">
        <v>336</v>
      </c>
      <c r="C23" s="412">
        <v>1</v>
      </c>
      <c r="D23" s="412">
        <v>34</v>
      </c>
      <c r="E23" s="413">
        <v>6</v>
      </c>
      <c r="F23" s="22">
        <f t="shared" si="0"/>
        <v>7</v>
      </c>
      <c r="G23" s="441">
        <f t="shared" si="1"/>
        <v>6</v>
      </c>
      <c r="H23" s="433">
        <f t="shared" si="2"/>
        <v>18096</v>
      </c>
      <c r="I23" s="433">
        <f t="shared" si="3"/>
        <v>173760</v>
      </c>
      <c r="J23" s="433">
        <f t="shared" si="4"/>
        <v>191856</v>
      </c>
      <c r="L23" s="38"/>
    </row>
    <row r="24" spans="1:12" x14ac:dyDescent="0.25">
      <c r="A24" s="21" t="s">
        <v>4</v>
      </c>
      <c r="B24" s="422">
        <v>337</v>
      </c>
      <c r="C24" s="412">
        <v>2</v>
      </c>
      <c r="D24" s="412">
        <v>43</v>
      </c>
      <c r="E24" s="413">
        <v>5</v>
      </c>
      <c r="F24" s="22">
        <f t="shared" si="0"/>
        <v>9</v>
      </c>
      <c r="G24" s="441">
        <f t="shared" si="1"/>
        <v>5</v>
      </c>
      <c r="H24" s="433">
        <f t="shared" si="2"/>
        <v>36192</v>
      </c>
      <c r="I24" s="433">
        <f t="shared" si="3"/>
        <v>144800</v>
      </c>
      <c r="J24" s="433">
        <f t="shared" si="4"/>
        <v>180992</v>
      </c>
      <c r="L24" s="38"/>
    </row>
    <row r="25" spans="1:12" x14ac:dyDescent="0.25">
      <c r="A25" s="29" t="s">
        <v>15</v>
      </c>
      <c r="B25" s="422">
        <v>338</v>
      </c>
      <c r="C25" s="412">
        <v>7</v>
      </c>
      <c r="D25" s="412">
        <v>50</v>
      </c>
      <c r="E25" s="413">
        <v>8</v>
      </c>
      <c r="F25" s="22">
        <f t="shared" si="0"/>
        <v>10</v>
      </c>
      <c r="G25" s="441">
        <f t="shared" si="1"/>
        <v>8</v>
      </c>
      <c r="H25" s="433">
        <f t="shared" si="2"/>
        <v>126672</v>
      </c>
      <c r="I25" s="433">
        <f t="shared" si="3"/>
        <v>231680</v>
      </c>
      <c r="J25" s="433">
        <f t="shared" si="4"/>
        <v>358352</v>
      </c>
      <c r="L25" s="38"/>
    </row>
    <row r="26" spans="1:12" x14ac:dyDescent="0.25">
      <c r="A26" s="21" t="s">
        <v>16</v>
      </c>
      <c r="B26" s="422">
        <v>339</v>
      </c>
      <c r="C26" s="412">
        <v>3</v>
      </c>
      <c r="D26" s="412">
        <v>70</v>
      </c>
      <c r="E26" s="413">
        <v>19</v>
      </c>
      <c r="F26" s="22">
        <f t="shared" si="0"/>
        <v>14</v>
      </c>
      <c r="G26" s="441">
        <v>19</v>
      </c>
      <c r="H26" s="433">
        <f t="shared" si="2"/>
        <v>54288</v>
      </c>
      <c r="I26" s="433">
        <f t="shared" si="3"/>
        <v>550240</v>
      </c>
      <c r="J26" s="433">
        <f t="shared" si="4"/>
        <v>604528</v>
      </c>
      <c r="L26" s="38"/>
    </row>
    <row r="27" spans="1:12" x14ac:dyDescent="0.25">
      <c r="A27" s="21" t="s">
        <v>17</v>
      </c>
      <c r="B27" s="422">
        <v>340</v>
      </c>
      <c r="C27" s="412">
        <v>2</v>
      </c>
      <c r="D27" s="412">
        <v>28</v>
      </c>
      <c r="E27" s="413">
        <v>8</v>
      </c>
      <c r="F27" s="22">
        <f t="shared" si="0"/>
        <v>6</v>
      </c>
      <c r="G27" s="441">
        <v>8</v>
      </c>
      <c r="H27" s="433">
        <f t="shared" si="2"/>
        <v>36192</v>
      </c>
      <c r="I27" s="433">
        <f t="shared" si="3"/>
        <v>231680</v>
      </c>
      <c r="J27" s="433">
        <f t="shared" si="4"/>
        <v>267872</v>
      </c>
      <c r="L27" s="38"/>
    </row>
    <row r="28" spans="1:12" x14ac:dyDescent="0.25">
      <c r="A28" s="21" t="s">
        <v>18</v>
      </c>
      <c r="B28" s="422">
        <v>341</v>
      </c>
      <c r="C28" s="412">
        <v>0</v>
      </c>
      <c r="D28" s="412">
        <v>54</v>
      </c>
      <c r="E28" s="413">
        <v>10</v>
      </c>
      <c r="F28" s="22">
        <f t="shared" si="0"/>
        <v>11</v>
      </c>
      <c r="G28" s="441">
        <f t="shared" si="1"/>
        <v>10</v>
      </c>
      <c r="H28" s="433">
        <f t="shared" si="2"/>
        <v>0</v>
      </c>
      <c r="I28" s="433">
        <f t="shared" si="3"/>
        <v>289600</v>
      </c>
      <c r="J28" s="433">
        <f t="shared" si="4"/>
        <v>289600</v>
      </c>
      <c r="L28" s="38"/>
    </row>
    <row r="29" spans="1:12" x14ac:dyDescent="0.25">
      <c r="A29" s="21" t="s">
        <v>19</v>
      </c>
      <c r="B29" s="422">
        <v>342</v>
      </c>
      <c r="C29" s="412">
        <v>0</v>
      </c>
      <c r="D29" s="412">
        <v>41</v>
      </c>
      <c r="E29" s="413">
        <v>9</v>
      </c>
      <c r="F29" s="22">
        <f t="shared" si="0"/>
        <v>9</v>
      </c>
      <c r="G29" s="441">
        <f t="shared" si="1"/>
        <v>9</v>
      </c>
      <c r="H29" s="433">
        <f t="shared" si="2"/>
        <v>0</v>
      </c>
      <c r="I29" s="433">
        <f t="shared" si="3"/>
        <v>260640</v>
      </c>
      <c r="J29" s="433">
        <f t="shared" si="4"/>
        <v>260640</v>
      </c>
      <c r="L29" s="38"/>
    </row>
    <row r="30" spans="1:12" x14ac:dyDescent="0.25">
      <c r="A30" s="21" t="s">
        <v>41</v>
      </c>
      <c r="B30" s="422">
        <v>343</v>
      </c>
      <c r="C30" s="412">
        <v>1</v>
      </c>
      <c r="D30" s="412">
        <v>59</v>
      </c>
      <c r="E30" s="413">
        <v>4</v>
      </c>
      <c r="F30" s="22">
        <f t="shared" si="0"/>
        <v>12</v>
      </c>
      <c r="G30" s="441">
        <f t="shared" si="1"/>
        <v>4</v>
      </c>
      <c r="H30" s="433">
        <f>C30*$G$2*12</f>
        <v>18096</v>
      </c>
      <c r="I30" s="433">
        <f t="shared" si="3"/>
        <v>115840</v>
      </c>
      <c r="J30" s="433">
        <f t="shared" si="4"/>
        <v>133936</v>
      </c>
      <c r="L30" s="38"/>
    </row>
    <row r="31" spans="1:12" x14ac:dyDescent="0.25">
      <c r="A31" s="21" t="s">
        <v>60</v>
      </c>
      <c r="B31" s="422">
        <v>344</v>
      </c>
      <c r="C31" s="412">
        <v>4</v>
      </c>
      <c r="D31" s="412">
        <v>109</v>
      </c>
      <c r="E31" s="413">
        <v>21</v>
      </c>
      <c r="F31" s="22">
        <f t="shared" si="0"/>
        <v>22</v>
      </c>
      <c r="G31" s="441">
        <f t="shared" si="1"/>
        <v>21</v>
      </c>
      <c r="H31" s="433">
        <f t="shared" si="2"/>
        <v>72384</v>
      </c>
      <c r="I31" s="433">
        <f t="shared" si="3"/>
        <v>608160</v>
      </c>
      <c r="J31" s="433">
        <f t="shared" si="4"/>
        <v>680544</v>
      </c>
      <c r="L31" s="38"/>
    </row>
    <row r="32" spans="1:12" x14ac:dyDescent="0.25">
      <c r="A32" s="21" t="s">
        <v>20</v>
      </c>
      <c r="B32" s="422">
        <v>345</v>
      </c>
      <c r="C32" s="412">
        <v>2</v>
      </c>
      <c r="D32" s="412">
        <v>46</v>
      </c>
      <c r="E32" s="413">
        <v>12</v>
      </c>
      <c r="F32" s="22">
        <f t="shared" si="0"/>
        <v>10</v>
      </c>
      <c r="G32" s="441">
        <v>12</v>
      </c>
      <c r="H32" s="433">
        <f t="shared" si="2"/>
        <v>36192</v>
      </c>
      <c r="I32" s="433">
        <f t="shared" si="3"/>
        <v>347520</v>
      </c>
      <c r="J32" s="433">
        <f t="shared" si="4"/>
        <v>383712</v>
      </c>
      <c r="L32" s="38"/>
    </row>
    <row r="33" spans="1:12" x14ac:dyDescent="0.25">
      <c r="A33" s="29" t="s">
        <v>7</v>
      </c>
      <c r="B33" s="422">
        <v>346</v>
      </c>
      <c r="C33" s="412">
        <v>1</v>
      </c>
      <c r="D33" s="412">
        <v>83</v>
      </c>
      <c r="E33" s="413">
        <v>14</v>
      </c>
      <c r="F33" s="22">
        <f t="shared" si="0"/>
        <v>17</v>
      </c>
      <c r="G33" s="441">
        <f t="shared" si="1"/>
        <v>14</v>
      </c>
      <c r="H33" s="433">
        <f t="shared" si="2"/>
        <v>18096</v>
      </c>
      <c r="I33" s="433">
        <f t="shared" si="3"/>
        <v>405440</v>
      </c>
      <c r="J33" s="433">
        <f t="shared" si="4"/>
        <v>423536</v>
      </c>
      <c r="L33" s="38"/>
    </row>
    <row r="34" spans="1:12" x14ac:dyDescent="0.25">
      <c r="A34" s="21" t="s">
        <v>21</v>
      </c>
      <c r="B34" s="422">
        <v>347</v>
      </c>
      <c r="C34" s="412">
        <v>0</v>
      </c>
      <c r="D34" s="412">
        <v>71</v>
      </c>
      <c r="E34" s="413">
        <v>14</v>
      </c>
      <c r="F34" s="22">
        <f t="shared" si="0"/>
        <v>15</v>
      </c>
      <c r="G34" s="441">
        <f t="shared" si="1"/>
        <v>14</v>
      </c>
      <c r="H34" s="433">
        <f t="shared" si="2"/>
        <v>0</v>
      </c>
      <c r="I34" s="433">
        <f t="shared" si="3"/>
        <v>405440</v>
      </c>
      <c r="J34" s="433">
        <f t="shared" si="4"/>
        <v>405440</v>
      </c>
      <c r="L34" s="38"/>
    </row>
    <row r="35" spans="1:12" x14ac:dyDescent="0.25">
      <c r="A35" s="21" t="s">
        <v>22</v>
      </c>
      <c r="B35" s="422">
        <v>348</v>
      </c>
      <c r="C35" s="412">
        <v>3</v>
      </c>
      <c r="D35" s="416">
        <v>49</v>
      </c>
      <c r="E35" s="417">
        <v>7</v>
      </c>
      <c r="F35" s="22">
        <f t="shared" si="0"/>
        <v>10</v>
      </c>
      <c r="G35" s="441">
        <f t="shared" si="1"/>
        <v>7</v>
      </c>
      <c r="H35" s="433">
        <f t="shared" si="2"/>
        <v>54288</v>
      </c>
      <c r="I35" s="433">
        <f t="shared" si="3"/>
        <v>202720</v>
      </c>
      <c r="J35" s="433">
        <f t="shared" si="4"/>
        <v>257008</v>
      </c>
      <c r="L35" s="38"/>
    </row>
    <row r="36" spans="1:12" x14ac:dyDescent="0.25">
      <c r="A36" s="21" t="s">
        <v>23</v>
      </c>
      <c r="B36" s="422">
        <v>350</v>
      </c>
      <c r="C36" s="412">
        <v>1</v>
      </c>
      <c r="D36" s="416">
        <v>52</v>
      </c>
      <c r="E36" s="417">
        <v>8</v>
      </c>
      <c r="F36" s="22">
        <f t="shared" si="0"/>
        <v>11</v>
      </c>
      <c r="G36" s="441">
        <f t="shared" si="1"/>
        <v>8</v>
      </c>
      <c r="H36" s="433">
        <f t="shared" si="2"/>
        <v>18096</v>
      </c>
      <c r="I36" s="433">
        <f t="shared" si="3"/>
        <v>231680</v>
      </c>
      <c r="J36" s="433">
        <f t="shared" si="4"/>
        <v>249776</v>
      </c>
      <c r="L36" s="38"/>
    </row>
    <row r="37" spans="1:12" x14ac:dyDescent="0.25">
      <c r="A37" s="21" t="s">
        <v>25</v>
      </c>
      <c r="B37" s="422">
        <v>458</v>
      </c>
      <c r="C37" s="412">
        <v>3</v>
      </c>
      <c r="D37" s="416">
        <v>58</v>
      </c>
      <c r="E37" s="417">
        <v>11</v>
      </c>
      <c r="F37" s="22">
        <f t="shared" si="0"/>
        <v>12</v>
      </c>
      <c r="G37" s="441">
        <f t="shared" si="1"/>
        <v>11</v>
      </c>
      <c r="H37" s="433">
        <f t="shared" si="2"/>
        <v>54288</v>
      </c>
      <c r="I37" s="433">
        <f t="shared" si="3"/>
        <v>318560</v>
      </c>
      <c r="J37" s="433">
        <f t="shared" si="4"/>
        <v>372848</v>
      </c>
      <c r="L37" s="38"/>
    </row>
    <row r="38" spans="1:12" x14ac:dyDescent="0.25">
      <c r="A38" s="21" t="s">
        <v>26</v>
      </c>
      <c r="B38" s="422">
        <v>497</v>
      </c>
      <c r="C38" s="412">
        <v>2</v>
      </c>
      <c r="D38" s="416">
        <v>46</v>
      </c>
      <c r="E38" s="417">
        <v>10</v>
      </c>
      <c r="F38" s="22">
        <f t="shared" si="0"/>
        <v>10</v>
      </c>
      <c r="G38" s="441">
        <f t="shared" si="1"/>
        <v>10</v>
      </c>
      <c r="H38" s="433">
        <f t="shared" si="2"/>
        <v>36192</v>
      </c>
      <c r="I38" s="433">
        <f t="shared" si="3"/>
        <v>289600</v>
      </c>
      <c r="J38" s="433">
        <f t="shared" si="4"/>
        <v>325792</v>
      </c>
      <c r="L38" s="38"/>
    </row>
    <row r="39" spans="1:12" x14ac:dyDescent="0.25">
      <c r="A39" s="21" t="s">
        <v>8</v>
      </c>
      <c r="B39" s="422">
        <v>498</v>
      </c>
      <c r="C39" s="412">
        <v>1</v>
      </c>
      <c r="D39" s="412">
        <v>65</v>
      </c>
      <c r="E39" s="413">
        <v>13</v>
      </c>
      <c r="F39" s="22">
        <f t="shared" si="0"/>
        <v>13</v>
      </c>
      <c r="G39" s="441">
        <f t="shared" si="1"/>
        <v>13</v>
      </c>
      <c r="H39" s="433">
        <f t="shared" si="2"/>
        <v>18096</v>
      </c>
      <c r="I39" s="433">
        <f t="shared" si="3"/>
        <v>376480</v>
      </c>
      <c r="J39" s="433">
        <f t="shared" si="4"/>
        <v>394576</v>
      </c>
      <c r="L39" s="38"/>
    </row>
    <row r="40" spans="1:12" x14ac:dyDescent="0.25">
      <c r="A40" s="21" t="s">
        <v>27</v>
      </c>
      <c r="B40" s="422">
        <v>512</v>
      </c>
      <c r="C40" s="412">
        <v>1</v>
      </c>
      <c r="D40" s="412">
        <v>50</v>
      </c>
      <c r="E40" s="413">
        <v>13</v>
      </c>
      <c r="F40" s="22">
        <f t="shared" si="0"/>
        <v>10</v>
      </c>
      <c r="G40" s="441">
        <v>13</v>
      </c>
      <c r="H40" s="433">
        <f t="shared" si="2"/>
        <v>18096</v>
      </c>
      <c r="I40" s="433">
        <f t="shared" si="3"/>
        <v>376480</v>
      </c>
      <c r="J40" s="433">
        <f t="shared" si="4"/>
        <v>394576</v>
      </c>
      <c r="L40" s="38"/>
    </row>
    <row r="41" spans="1:12" x14ac:dyDescent="0.25">
      <c r="A41" s="21" t="s">
        <v>28</v>
      </c>
      <c r="B41" s="422">
        <v>513</v>
      </c>
      <c r="C41" s="412">
        <v>6</v>
      </c>
      <c r="D41" s="412">
        <v>73</v>
      </c>
      <c r="E41" s="413">
        <v>17</v>
      </c>
      <c r="F41" s="22">
        <f t="shared" si="0"/>
        <v>15</v>
      </c>
      <c r="G41" s="441">
        <v>17</v>
      </c>
      <c r="H41" s="433">
        <f t="shared" si="2"/>
        <v>108576</v>
      </c>
      <c r="I41" s="433">
        <f t="shared" si="3"/>
        <v>492320</v>
      </c>
      <c r="J41" s="433">
        <f t="shared" si="4"/>
        <v>600896</v>
      </c>
      <c r="L41" s="38"/>
    </row>
    <row r="42" spans="1:12" x14ac:dyDescent="0.25">
      <c r="A42" s="21" t="s">
        <v>29</v>
      </c>
      <c r="B42" s="422">
        <v>516</v>
      </c>
      <c r="C42" s="412">
        <v>2</v>
      </c>
      <c r="D42" s="412">
        <v>45</v>
      </c>
      <c r="E42" s="413">
        <v>9</v>
      </c>
      <c r="F42" s="22">
        <f t="shared" si="0"/>
        <v>9</v>
      </c>
      <c r="G42" s="441">
        <f t="shared" si="1"/>
        <v>9</v>
      </c>
      <c r="H42" s="433">
        <f t="shared" si="2"/>
        <v>36192</v>
      </c>
      <c r="I42" s="433">
        <f t="shared" si="3"/>
        <v>260640</v>
      </c>
      <c r="J42" s="433">
        <f t="shared" si="4"/>
        <v>296832</v>
      </c>
      <c r="L42" s="38"/>
    </row>
    <row r="43" spans="1:12" x14ac:dyDescent="0.25">
      <c r="A43" s="21" t="s">
        <v>30</v>
      </c>
      <c r="B43" s="422">
        <v>527</v>
      </c>
      <c r="C43" s="412">
        <v>1</v>
      </c>
      <c r="D43" s="412">
        <v>39</v>
      </c>
      <c r="E43" s="413">
        <v>8</v>
      </c>
      <c r="F43" s="22">
        <f t="shared" si="0"/>
        <v>8</v>
      </c>
      <c r="G43" s="441">
        <f t="shared" si="1"/>
        <v>8</v>
      </c>
      <c r="H43" s="433">
        <f t="shared" si="2"/>
        <v>18096</v>
      </c>
      <c r="I43" s="433">
        <f t="shared" si="3"/>
        <v>231680</v>
      </c>
      <c r="J43" s="433">
        <f t="shared" si="4"/>
        <v>249776</v>
      </c>
      <c r="L43" s="38"/>
    </row>
    <row r="44" spans="1:12" x14ac:dyDescent="0.25">
      <c r="A44" s="21" t="s">
        <v>38</v>
      </c>
      <c r="B44" s="422" t="s">
        <v>182</v>
      </c>
      <c r="C44" s="412">
        <v>2</v>
      </c>
      <c r="D44" s="416">
        <v>137</v>
      </c>
      <c r="E44" s="417">
        <v>25</v>
      </c>
      <c r="F44" s="22">
        <f t="shared" si="0"/>
        <v>28</v>
      </c>
      <c r="G44" s="441">
        <f t="shared" si="1"/>
        <v>25</v>
      </c>
      <c r="H44" s="433">
        <f t="shared" si="2"/>
        <v>36192</v>
      </c>
      <c r="I44" s="433">
        <f t="shared" si="3"/>
        <v>724000</v>
      </c>
      <c r="J44" s="433">
        <f t="shared" si="4"/>
        <v>760192</v>
      </c>
      <c r="L44" s="38"/>
    </row>
    <row r="45" spans="1:12" x14ac:dyDescent="0.25">
      <c r="A45" s="21" t="s">
        <v>49</v>
      </c>
      <c r="B45" s="422">
        <v>557</v>
      </c>
      <c r="C45" s="412">
        <v>1</v>
      </c>
      <c r="D45" s="416">
        <v>47</v>
      </c>
      <c r="E45" s="417">
        <v>15</v>
      </c>
      <c r="F45" s="22">
        <f t="shared" si="0"/>
        <v>10</v>
      </c>
      <c r="G45" s="441">
        <v>15</v>
      </c>
      <c r="H45" s="433">
        <f t="shared" si="2"/>
        <v>18096</v>
      </c>
      <c r="I45" s="433">
        <f t="shared" si="3"/>
        <v>434400</v>
      </c>
      <c r="J45" s="433">
        <f t="shared" si="4"/>
        <v>452496</v>
      </c>
      <c r="L45" s="38"/>
    </row>
    <row r="46" spans="1:12" x14ac:dyDescent="0.25">
      <c r="A46" s="21" t="s">
        <v>31</v>
      </c>
      <c r="B46" s="422">
        <v>569</v>
      </c>
      <c r="C46" s="412">
        <v>4</v>
      </c>
      <c r="D46" s="416">
        <v>67</v>
      </c>
      <c r="E46" s="417">
        <v>25</v>
      </c>
      <c r="F46" s="22">
        <f t="shared" si="0"/>
        <v>14</v>
      </c>
      <c r="G46" s="441">
        <v>25</v>
      </c>
      <c r="H46" s="433">
        <f t="shared" si="2"/>
        <v>72384</v>
      </c>
      <c r="I46" s="433">
        <f t="shared" si="3"/>
        <v>724000</v>
      </c>
      <c r="J46" s="433">
        <f t="shared" si="4"/>
        <v>796384</v>
      </c>
      <c r="L46" s="38"/>
    </row>
    <row r="47" spans="1:12" x14ac:dyDescent="0.25">
      <c r="A47" s="21" t="s">
        <v>32</v>
      </c>
      <c r="B47" s="422">
        <v>570</v>
      </c>
      <c r="C47" s="412">
        <v>2</v>
      </c>
      <c r="D47" s="416">
        <v>56</v>
      </c>
      <c r="E47" s="417">
        <v>16</v>
      </c>
      <c r="F47" s="22">
        <f t="shared" si="0"/>
        <v>12</v>
      </c>
      <c r="G47" s="441">
        <v>16</v>
      </c>
      <c r="H47" s="433">
        <f t="shared" si="2"/>
        <v>36192</v>
      </c>
      <c r="I47" s="433">
        <f t="shared" si="3"/>
        <v>463360</v>
      </c>
      <c r="J47" s="433">
        <f t="shared" si="4"/>
        <v>499552</v>
      </c>
      <c r="L47" s="38"/>
    </row>
    <row r="48" spans="1:12" x14ac:dyDescent="0.25">
      <c r="A48" s="21" t="s">
        <v>33</v>
      </c>
      <c r="B48" s="422">
        <v>571</v>
      </c>
      <c r="C48" s="412">
        <v>0</v>
      </c>
      <c r="D48" s="416">
        <v>66</v>
      </c>
      <c r="E48" s="417">
        <v>16</v>
      </c>
      <c r="F48" s="22">
        <f t="shared" si="0"/>
        <v>14</v>
      </c>
      <c r="G48" s="441">
        <v>16</v>
      </c>
      <c r="H48" s="433">
        <f t="shared" si="2"/>
        <v>0</v>
      </c>
      <c r="I48" s="433">
        <f t="shared" si="3"/>
        <v>463360</v>
      </c>
      <c r="J48" s="433">
        <f t="shared" si="4"/>
        <v>463360</v>
      </c>
      <c r="L48" s="38"/>
    </row>
    <row r="49" spans="1:12" x14ac:dyDescent="0.25">
      <c r="A49" s="21" t="s">
        <v>34</v>
      </c>
      <c r="B49" s="422">
        <v>572</v>
      </c>
      <c r="C49" s="412">
        <v>4</v>
      </c>
      <c r="D49" s="416">
        <v>56</v>
      </c>
      <c r="E49" s="417">
        <v>9</v>
      </c>
      <c r="F49" s="22">
        <f t="shared" si="0"/>
        <v>12</v>
      </c>
      <c r="G49" s="441">
        <f t="shared" si="1"/>
        <v>9</v>
      </c>
      <c r="H49" s="433">
        <f t="shared" si="2"/>
        <v>72384</v>
      </c>
      <c r="I49" s="433">
        <f t="shared" si="3"/>
        <v>260640</v>
      </c>
      <c r="J49" s="433">
        <f t="shared" si="4"/>
        <v>333024</v>
      </c>
      <c r="L49" s="38"/>
    </row>
    <row r="50" spans="1:12" x14ac:dyDescent="0.25">
      <c r="A50" s="21" t="s">
        <v>40</v>
      </c>
      <c r="B50" s="422">
        <v>574</v>
      </c>
      <c r="C50" s="412">
        <v>1</v>
      </c>
      <c r="D50" s="416">
        <v>65</v>
      </c>
      <c r="E50" s="417">
        <v>15</v>
      </c>
      <c r="F50" s="22">
        <f t="shared" si="0"/>
        <v>13</v>
      </c>
      <c r="G50" s="441">
        <v>15</v>
      </c>
      <c r="H50" s="433">
        <f t="shared" si="2"/>
        <v>18096</v>
      </c>
      <c r="I50" s="433">
        <f t="shared" si="3"/>
        <v>434400</v>
      </c>
      <c r="J50" s="433">
        <f t="shared" si="4"/>
        <v>452496</v>
      </c>
      <c r="L50" s="38"/>
    </row>
    <row r="51" spans="1:12" x14ac:dyDescent="0.25">
      <c r="A51" s="21" t="s">
        <v>37</v>
      </c>
      <c r="B51" s="422">
        <v>591</v>
      </c>
      <c r="C51" s="412">
        <v>2</v>
      </c>
      <c r="D51" s="416">
        <v>42</v>
      </c>
      <c r="E51" s="417">
        <v>8</v>
      </c>
      <c r="F51" s="22">
        <f t="shared" si="0"/>
        <v>9</v>
      </c>
      <c r="G51" s="441">
        <f t="shared" si="1"/>
        <v>8</v>
      </c>
      <c r="H51" s="433">
        <f t="shared" si="2"/>
        <v>36192</v>
      </c>
      <c r="I51" s="433">
        <f t="shared" si="3"/>
        <v>231680</v>
      </c>
      <c r="J51" s="433">
        <f t="shared" si="4"/>
        <v>267872</v>
      </c>
      <c r="L51" s="38"/>
    </row>
    <row r="52" spans="1:12" x14ac:dyDescent="0.25">
      <c r="A52" s="21" t="s">
        <v>36</v>
      </c>
      <c r="B52" s="422">
        <v>593</v>
      </c>
      <c r="C52" s="412">
        <v>2</v>
      </c>
      <c r="D52" s="416">
        <v>49</v>
      </c>
      <c r="E52" s="417">
        <v>10</v>
      </c>
      <c r="F52" s="22">
        <f t="shared" si="0"/>
        <v>10</v>
      </c>
      <c r="G52" s="441">
        <f t="shared" si="1"/>
        <v>10</v>
      </c>
      <c r="H52" s="433">
        <f t="shared" si="2"/>
        <v>36192</v>
      </c>
      <c r="I52" s="433">
        <f t="shared" si="3"/>
        <v>289600</v>
      </c>
      <c r="J52" s="433">
        <f t="shared" si="4"/>
        <v>325792</v>
      </c>
      <c r="L52" s="38"/>
    </row>
    <row r="53" spans="1:12" x14ac:dyDescent="0.25">
      <c r="A53" s="21" t="s">
        <v>42</v>
      </c>
      <c r="B53" s="422">
        <v>625</v>
      </c>
      <c r="C53" s="412">
        <v>2</v>
      </c>
      <c r="D53" s="416">
        <v>82</v>
      </c>
      <c r="E53" s="417">
        <v>18</v>
      </c>
      <c r="F53" s="22">
        <f t="shared" si="0"/>
        <v>17</v>
      </c>
      <c r="G53" s="441">
        <v>18</v>
      </c>
      <c r="H53" s="433">
        <f t="shared" si="2"/>
        <v>36192</v>
      </c>
      <c r="I53" s="433">
        <f t="shared" si="3"/>
        <v>521280</v>
      </c>
      <c r="J53" s="433">
        <f t="shared" si="4"/>
        <v>557472</v>
      </c>
      <c r="L53" s="38"/>
    </row>
    <row r="54" spans="1:12" x14ac:dyDescent="0.25">
      <c r="A54" s="21" t="s">
        <v>63</v>
      </c>
      <c r="B54" s="422">
        <v>627</v>
      </c>
      <c r="C54" s="412">
        <v>3</v>
      </c>
      <c r="D54" s="416">
        <v>98</v>
      </c>
      <c r="E54" s="417">
        <v>20</v>
      </c>
      <c r="F54" s="22">
        <f t="shared" si="0"/>
        <v>20</v>
      </c>
      <c r="G54" s="441">
        <f t="shared" si="1"/>
        <v>20</v>
      </c>
      <c r="H54" s="433">
        <f t="shared" si="2"/>
        <v>54288</v>
      </c>
      <c r="I54" s="433">
        <f t="shared" si="3"/>
        <v>579200</v>
      </c>
      <c r="J54" s="433">
        <f t="shared" si="4"/>
        <v>633488</v>
      </c>
      <c r="L54" s="38"/>
    </row>
    <row r="55" spans="1:12" x14ac:dyDescent="0.25">
      <c r="A55" s="21" t="s">
        <v>50</v>
      </c>
      <c r="B55" s="422">
        <v>639</v>
      </c>
      <c r="C55" s="412">
        <v>0</v>
      </c>
      <c r="D55" s="416">
        <v>67</v>
      </c>
      <c r="E55" s="417">
        <v>10</v>
      </c>
      <c r="F55" s="22">
        <f t="shared" si="0"/>
        <v>14</v>
      </c>
      <c r="G55" s="441">
        <f t="shared" si="1"/>
        <v>10</v>
      </c>
      <c r="H55" s="433">
        <f t="shared" si="2"/>
        <v>0</v>
      </c>
      <c r="I55" s="433">
        <f t="shared" si="3"/>
        <v>289600</v>
      </c>
      <c r="J55" s="433">
        <f t="shared" si="4"/>
        <v>289600</v>
      </c>
      <c r="L55" s="38"/>
    </row>
    <row r="56" spans="1:12" x14ac:dyDescent="0.25">
      <c r="A56" s="21" t="s">
        <v>59</v>
      </c>
      <c r="B56" s="422">
        <v>641</v>
      </c>
      <c r="C56" s="412">
        <v>0</v>
      </c>
      <c r="D56" s="416">
        <v>60</v>
      </c>
      <c r="E56" s="417">
        <v>11</v>
      </c>
      <c r="F56" s="22">
        <f t="shared" si="0"/>
        <v>12</v>
      </c>
      <c r="G56" s="441">
        <f t="shared" si="1"/>
        <v>11</v>
      </c>
      <c r="H56" s="433">
        <f t="shared" si="2"/>
        <v>0</v>
      </c>
      <c r="I56" s="433">
        <f t="shared" si="3"/>
        <v>318560</v>
      </c>
      <c r="J56" s="433">
        <f t="shared" si="4"/>
        <v>318560</v>
      </c>
      <c r="L56" s="38"/>
    </row>
    <row r="57" spans="1:12" x14ac:dyDescent="0.25">
      <c r="A57" s="21" t="s">
        <v>51</v>
      </c>
      <c r="B57" s="422">
        <v>667</v>
      </c>
      <c r="C57" s="412">
        <v>0</v>
      </c>
      <c r="D57" s="416">
        <v>78</v>
      </c>
      <c r="E57" s="417">
        <v>16</v>
      </c>
      <c r="F57" s="22">
        <f t="shared" si="0"/>
        <v>16</v>
      </c>
      <c r="G57" s="441">
        <f t="shared" si="1"/>
        <v>16</v>
      </c>
      <c r="H57" s="433">
        <f t="shared" si="2"/>
        <v>0</v>
      </c>
      <c r="I57" s="433">
        <f t="shared" si="3"/>
        <v>463360</v>
      </c>
      <c r="J57" s="433">
        <f t="shared" si="4"/>
        <v>463360</v>
      </c>
      <c r="L57" s="38"/>
    </row>
    <row r="58" spans="1:12" x14ac:dyDescent="0.25">
      <c r="A58" s="29" t="s">
        <v>62</v>
      </c>
      <c r="B58" s="422">
        <v>689</v>
      </c>
      <c r="C58" s="412">
        <v>2</v>
      </c>
      <c r="D58" s="416">
        <v>23</v>
      </c>
      <c r="E58" s="417">
        <v>2</v>
      </c>
      <c r="F58" s="22">
        <f t="shared" si="0"/>
        <v>5</v>
      </c>
      <c r="G58" s="441">
        <f t="shared" si="1"/>
        <v>2</v>
      </c>
      <c r="H58" s="433">
        <f t="shared" si="2"/>
        <v>36192</v>
      </c>
      <c r="I58" s="433">
        <f t="shared" si="3"/>
        <v>57920</v>
      </c>
      <c r="J58" s="433">
        <f t="shared" si="4"/>
        <v>94112</v>
      </c>
      <c r="L58" s="38"/>
    </row>
    <row r="59" spans="1:12" x14ac:dyDescent="0.25">
      <c r="B59" s="422">
        <v>690</v>
      </c>
      <c r="C59" s="412">
        <v>4</v>
      </c>
      <c r="D59" s="412">
        <v>46</v>
      </c>
      <c r="E59" s="413">
        <v>33</v>
      </c>
      <c r="F59" s="22">
        <f t="shared" si="0"/>
        <v>10</v>
      </c>
      <c r="G59" s="441">
        <v>24</v>
      </c>
      <c r="H59" s="433">
        <f t="shared" si="2"/>
        <v>72384</v>
      </c>
      <c r="I59" s="433">
        <f t="shared" si="3"/>
        <v>695040</v>
      </c>
      <c r="J59" s="433">
        <f t="shared" si="4"/>
        <v>767424</v>
      </c>
      <c r="L59" s="38"/>
    </row>
    <row r="60" spans="1:12" x14ac:dyDescent="0.25">
      <c r="B60" s="422">
        <v>691</v>
      </c>
      <c r="C60" s="412">
        <v>4</v>
      </c>
      <c r="D60" s="412">
        <v>50</v>
      </c>
      <c r="E60" s="413">
        <v>10</v>
      </c>
      <c r="F60" s="22">
        <f t="shared" si="0"/>
        <v>10</v>
      </c>
      <c r="G60" s="441">
        <f t="shared" si="1"/>
        <v>10</v>
      </c>
      <c r="H60" s="433">
        <f t="shared" si="2"/>
        <v>72384</v>
      </c>
      <c r="I60" s="433">
        <f t="shared" si="3"/>
        <v>289600</v>
      </c>
      <c r="J60" s="433">
        <f t="shared" si="4"/>
        <v>361984</v>
      </c>
      <c r="L60" s="38"/>
    </row>
    <row r="61" spans="1:12" x14ac:dyDescent="0.25">
      <c r="A61" s="21" t="s">
        <v>55</v>
      </c>
      <c r="B61" s="423" t="s">
        <v>93</v>
      </c>
      <c r="C61" s="412">
        <v>1</v>
      </c>
      <c r="D61" s="412">
        <v>29</v>
      </c>
      <c r="E61" s="413">
        <v>5</v>
      </c>
      <c r="F61" s="22">
        <f t="shared" si="0"/>
        <v>6</v>
      </c>
      <c r="G61" s="441">
        <f t="shared" si="1"/>
        <v>5</v>
      </c>
      <c r="H61" s="433">
        <f t="shared" si="2"/>
        <v>18096</v>
      </c>
      <c r="I61" s="433">
        <f t="shared" si="3"/>
        <v>144800</v>
      </c>
      <c r="J61" s="433">
        <f t="shared" si="4"/>
        <v>162896</v>
      </c>
      <c r="L61" s="38"/>
    </row>
    <row r="62" spans="1:12" x14ac:dyDescent="0.25">
      <c r="A62" s="21" t="s">
        <v>61</v>
      </c>
      <c r="B62" s="423" t="s">
        <v>94</v>
      </c>
      <c r="C62" s="412">
        <v>0</v>
      </c>
      <c r="D62" s="412">
        <v>35</v>
      </c>
      <c r="E62" s="413">
        <v>7</v>
      </c>
      <c r="F62" s="22">
        <f t="shared" si="0"/>
        <v>7</v>
      </c>
      <c r="G62" s="441">
        <f t="shared" si="1"/>
        <v>7</v>
      </c>
      <c r="H62" s="433">
        <f t="shared" si="2"/>
        <v>0</v>
      </c>
      <c r="I62" s="433">
        <f t="shared" si="3"/>
        <v>202720</v>
      </c>
      <c r="J62" s="433">
        <f t="shared" si="4"/>
        <v>202720</v>
      </c>
      <c r="L62" s="38"/>
    </row>
    <row r="63" spans="1:12" ht="16.95" customHeight="1" x14ac:dyDescent="0.25">
      <c r="A63" s="21" t="s">
        <v>95</v>
      </c>
      <c r="B63" s="423" t="s">
        <v>96</v>
      </c>
      <c r="C63" s="412">
        <v>5</v>
      </c>
      <c r="D63" s="412">
        <v>66</v>
      </c>
      <c r="E63" s="413">
        <v>32</v>
      </c>
      <c r="F63" s="22">
        <f t="shared" si="0"/>
        <v>14</v>
      </c>
      <c r="G63" s="441">
        <v>25</v>
      </c>
      <c r="H63" s="442">
        <f>C63*$G$2*12-5474</f>
        <v>85006</v>
      </c>
      <c r="I63" s="433">
        <f t="shared" si="3"/>
        <v>724000</v>
      </c>
      <c r="J63" s="433">
        <f t="shared" si="4"/>
        <v>809006</v>
      </c>
      <c r="L63" s="38"/>
    </row>
    <row r="64" spans="1:12" x14ac:dyDescent="0.25">
      <c r="A64" s="21" t="s">
        <v>52</v>
      </c>
      <c r="B64" s="423" t="s">
        <v>97</v>
      </c>
      <c r="C64" s="412">
        <v>1</v>
      </c>
      <c r="D64" s="412">
        <v>72</v>
      </c>
      <c r="E64" s="413">
        <v>13</v>
      </c>
      <c r="F64" s="22">
        <f t="shared" si="0"/>
        <v>15</v>
      </c>
      <c r="G64" s="441">
        <f t="shared" si="1"/>
        <v>13</v>
      </c>
      <c r="H64" s="433">
        <f t="shared" si="2"/>
        <v>18096</v>
      </c>
      <c r="I64" s="433">
        <f t="shared" si="3"/>
        <v>376480</v>
      </c>
      <c r="J64" s="433">
        <f t="shared" si="4"/>
        <v>394576</v>
      </c>
      <c r="L64" s="38"/>
    </row>
    <row r="65" spans="1:12" x14ac:dyDescent="0.25">
      <c r="A65" s="21" t="s">
        <v>57</v>
      </c>
      <c r="B65" s="423" t="s">
        <v>98</v>
      </c>
      <c r="C65" s="412">
        <v>9</v>
      </c>
      <c r="D65" s="412">
        <v>91</v>
      </c>
      <c r="E65" s="413">
        <v>13</v>
      </c>
      <c r="F65" s="22">
        <f t="shared" si="0"/>
        <v>19</v>
      </c>
      <c r="G65" s="441">
        <f t="shared" si="1"/>
        <v>13</v>
      </c>
      <c r="H65" s="433">
        <f t="shared" si="2"/>
        <v>162864</v>
      </c>
      <c r="I65" s="433">
        <f t="shared" si="3"/>
        <v>376480</v>
      </c>
      <c r="J65" s="433">
        <f t="shared" si="4"/>
        <v>539344</v>
      </c>
      <c r="L65" s="38"/>
    </row>
    <row r="66" spans="1:12" x14ac:dyDescent="0.25">
      <c r="A66" s="21" t="s">
        <v>99</v>
      </c>
      <c r="B66" s="423" t="s">
        <v>100</v>
      </c>
      <c r="C66" s="412">
        <v>0</v>
      </c>
      <c r="D66" s="412">
        <v>15</v>
      </c>
      <c r="E66" s="413">
        <v>2</v>
      </c>
      <c r="F66" s="22">
        <f t="shared" si="0"/>
        <v>3</v>
      </c>
      <c r="G66" s="441">
        <f t="shared" si="1"/>
        <v>2</v>
      </c>
      <c r="H66" s="433">
        <f t="shared" si="2"/>
        <v>0</v>
      </c>
      <c r="I66" s="433">
        <f t="shared" si="3"/>
        <v>57920</v>
      </c>
      <c r="J66" s="433">
        <f t="shared" si="4"/>
        <v>57920</v>
      </c>
      <c r="L66" s="38"/>
    </row>
    <row r="67" spans="1:12" ht="13.2" customHeight="1" x14ac:dyDescent="0.25">
      <c r="A67" s="21" t="s">
        <v>147</v>
      </c>
      <c r="B67" s="423" t="s">
        <v>101</v>
      </c>
      <c r="C67" s="412">
        <v>3</v>
      </c>
      <c r="D67" s="412">
        <v>59</v>
      </c>
      <c r="E67" s="413">
        <v>23</v>
      </c>
      <c r="F67" s="22">
        <f t="shared" si="0"/>
        <v>12</v>
      </c>
      <c r="G67" s="441">
        <v>23</v>
      </c>
      <c r="H67" s="433">
        <f t="shared" si="2"/>
        <v>54288</v>
      </c>
      <c r="I67" s="433">
        <f t="shared" si="3"/>
        <v>666080</v>
      </c>
      <c r="J67" s="433">
        <f t="shared" si="4"/>
        <v>720368</v>
      </c>
      <c r="L67" s="38"/>
    </row>
    <row r="68" spans="1:12" x14ac:dyDescent="0.25">
      <c r="A68" s="21" t="s">
        <v>148</v>
      </c>
      <c r="B68" s="423" t="s">
        <v>102</v>
      </c>
      <c r="C68" s="412">
        <v>2</v>
      </c>
      <c r="D68" s="412">
        <v>70</v>
      </c>
      <c r="E68" s="413">
        <v>15</v>
      </c>
      <c r="F68" s="22">
        <f t="shared" ref="F68:F74" si="5">ROUNDUP(D68/5,0)</f>
        <v>14</v>
      </c>
      <c r="G68" s="441">
        <v>15</v>
      </c>
      <c r="H68" s="433">
        <f t="shared" ref="H68:H74" si="6">C68*$G$2*12</f>
        <v>36192</v>
      </c>
      <c r="I68" s="433">
        <f t="shared" ref="I68:I74" si="7">G68*$F$2</f>
        <v>434400</v>
      </c>
      <c r="J68" s="433">
        <f t="shared" ref="J68:J75" si="8">H68+I68</f>
        <v>470592</v>
      </c>
      <c r="L68" s="38"/>
    </row>
    <row r="69" spans="1:12" x14ac:dyDescent="0.25">
      <c r="A69" s="21" t="s">
        <v>149</v>
      </c>
      <c r="B69" s="423" t="s">
        <v>103</v>
      </c>
      <c r="C69" s="412">
        <v>1</v>
      </c>
      <c r="D69" s="412">
        <v>12</v>
      </c>
      <c r="E69" s="413">
        <v>2</v>
      </c>
      <c r="F69" s="22">
        <f t="shared" si="5"/>
        <v>3</v>
      </c>
      <c r="G69" s="441">
        <f>IF(E69&gt;F69,F69,E69)</f>
        <v>2</v>
      </c>
      <c r="H69" s="433">
        <f t="shared" si="6"/>
        <v>18096</v>
      </c>
      <c r="I69" s="433">
        <f t="shared" si="7"/>
        <v>57920</v>
      </c>
      <c r="J69" s="433">
        <f t="shared" si="8"/>
        <v>76016</v>
      </c>
      <c r="L69" s="38"/>
    </row>
    <row r="70" spans="1:12" x14ac:dyDescent="0.25">
      <c r="A70" s="21" t="s">
        <v>56</v>
      </c>
      <c r="B70" s="423" t="s">
        <v>69</v>
      </c>
      <c r="C70" s="412">
        <v>0</v>
      </c>
      <c r="D70" s="412">
        <v>14</v>
      </c>
      <c r="E70" s="413">
        <v>4</v>
      </c>
      <c r="F70" s="22">
        <f>ROUNDUP(D70/5,0)</f>
        <v>3</v>
      </c>
      <c r="G70" s="441">
        <v>4</v>
      </c>
      <c r="H70" s="433">
        <f t="shared" si="6"/>
        <v>0</v>
      </c>
      <c r="I70" s="433">
        <f t="shared" si="7"/>
        <v>115840</v>
      </c>
      <c r="J70" s="433">
        <f>H70+I70</f>
        <v>115840</v>
      </c>
      <c r="L70" s="38"/>
    </row>
    <row r="71" spans="1:12" ht="19.2" customHeight="1" x14ac:dyDescent="0.25">
      <c r="A71" s="21" t="s">
        <v>53</v>
      </c>
      <c r="B71" s="424" t="s">
        <v>104</v>
      </c>
      <c r="C71" s="412">
        <v>1</v>
      </c>
      <c r="D71" s="412">
        <v>41</v>
      </c>
      <c r="E71" s="413">
        <v>7</v>
      </c>
      <c r="F71" s="22">
        <f t="shared" si="5"/>
        <v>9</v>
      </c>
      <c r="G71" s="441">
        <f>IF(E71&gt;F71,F71,E71)</f>
        <v>7</v>
      </c>
      <c r="H71" s="433">
        <f t="shared" si="6"/>
        <v>18096</v>
      </c>
      <c r="I71" s="433">
        <f t="shared" si="7"/>
        <v>202720</v>
      </c>
      <c r="J71" s="433">
        <f t="shared" si="8"/>
        <v>220816</v>
      </c>
      <c r="L71" s="38"/>
    </row>
    <row r="72" spans="1:12" x14ac:dyDescent="0.25">
      <c r="A72" s="21" t="s">
        <v>58</v>
      </c>
      <c r="B72" s="423" t="s">
        <v>105</v>
      </c>
      <c r="C72" s="412">
        <v>1</v>
      </c>
      <c r="D72" s="412">
        <v>40</v>
      </c>
      <c r="E72" s="413">
        <v>9</v>
      </c>
      <c r="F72" s="22">
        <f t="shared" si="5"/>
        <v>8</v>
      </c>
      <c r="G72" s="441">
        <v>9</v>
      </c>
      <c r="H72" s="433">
        <f t="shared" si="6"/>
        <v>18096</v>
      </c>
      <c r="I72" s="433">
        <f t="shared" si="7"/>
        <v>260640</v>
      </c>
      <c r="J72" s="433">
        <f t="shared" si="8"/>
        <v>278736</v>
      </c>
      <c r="L72" s="38"/>
    </row>
    <row r="73" spans="1:12" x14ac:dyDescent="0.25">
      <c r="A73" s="21" t="s">
        <v>54</v>
      </c>
      <c r="B73" s="424" t="s">
        <v>106</v>
      </c>
      <c r="C73" s="412">
        <v>1</v>
      </c>
      <c r="D73" s="412">
        <v>63</v>
      </c>
      <c r="E73" s="413">
        <v>14</v>
      </c>
      <c r="F73" s="22">
        <f t="shared" si="5"/>
        <v>13</v>
      </c>
      <c r="G73" s="441">
        <v>14</v>
      </c>
      <c r="H73" s="433">
        <f t="shared" si="6"/>
        <v>18096</v>
      </c>
      <c r="I73" s="433">
        <f t="shared" si="7"/>
        <v>405440</v>
      </c>
      <c r="J73" s="433">
        <f t="shared" si="8"/>
        <v>423536</v>
      </c>
      <c r="L73" s="38"/>
    </row>
    <row r="74" spans="1:12" x14ac:dyDescent="0.25">
      <c r="A74" s="21" t="s">
        <v>107</v>
      </c>
      <c r="B74" s="423" t="s">
        <v>108</v>
      </c>
      <c r="C74" s="412">
        <v>0</v>
      </c>
      <c r="D74" s="412">
        <v>46</v>
      </c>
      <c r="E74" s="413">
        <v>5</v>
      </c>
      <c r="F74" s="22">
        <f t="shared" si="5"/>
        <v>10</v>
      </c>
      <c r="G74" s="441">
        <f>IF(E74&gt;F74,F74,E74)</f>
        <v>5</v>
      </c>
      <c r="H74" s="433">
        <f t="shared" si="6"/>
        <v>0</v>
      </c>
      <c r="I74" s="433">
        <f t="shared" si="7"/>
        <v>144800</v>
      </c>
      <c r="J74" s="433">
        <f t="shared" si="8"/>
        <v>144800</v>
      </c>
      <c r="L74" s="38"/>
    </row>
    <row r="75" spans="1:12" s="35" customFormat="1" ht="30.6" customHeight="1" x14ac:dyDescent="0.3">
      <c r="A75" s="30"/>
      <c r="B75" s="434" t="s">
        <v>91</v>
      </c>
      <c r="C75" s="421">
        <f>SUM(C4:C74)</f>
        <v>129</v>
      </c>
      <c r="D75" s="418">
        <f t="shared" ref="D75:I75" si="9">SUM(D4:D74)</f>
        <v>4028</v>
      </c>
      <c r="E75" s="419">
        <f t="shared" si="9"/>
        <v>862</v>
      </c>
      <c r="F75" s="32">
        <f t="shared" si="9"/>
        <v>834</v>
      </c>
      <c r="G75" s="428">
        <f t="shared" si="9"/>
        <v>846</v>
      </c>
      <c r="H75" s="409">
        <f t="shared" si="9"/>
        <v>2328910</v>
      </c>
      <c r="I75" s="409">
        <f t="shared" si="9"/>
        <v>24500160</v>
      </c>
      <c r="J75" s="409">
        <f t="shared" si="8"/>
        <v>26829070</v>
      </c>
    </row>
    <row r="79" spans="1:12" x14ac:dyDescent="0.25">
      <c r="J79" s="37"/>
    </row>
    <row r="81" spans="10:10" x14ac:dyDescent="0.25">
      <c r="J81" s="37"/>
    </row>
  </sheetData>
  <autoFilter ref="A3:I75" xr:uid="{00000000-0009-0000-0000-000002000000}"/>
  <printOptions verticalCentered="1"/>
  <pageMargins left="0.70866141732283472" right="0.70866141732283472" top="0" bottom="0" header="0.31496062992125984" footer="0.31496062992125984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J84"/>
  <sheetViews>
    <sheetView topLeftCell="A55" zoomScaleNormal="100" workbookViewId="0">
      <selection activeCell="B44" sqref="A44:XFD44"/>
    </sheetView>
  </sheetViews>
  <sheetFormatPr defaultColWidth="8.33203125" defaultRowHeight="13.2" x14ac:dyDescent="0.25"/>
  <cols>
    <col min="1" max="1" width="3.33203125" style="21" customWidth="1"/>
    <col min="2" max="2" width="13.5546875" style="5" customWidth="1"/>
    <col min="3" max="3" width="7.5546875" style="408" customWidth="1"/>
    <col min="4" max="4" width="8.5546875" style="5" bestFit="1" customWidth="1"/>
    <col min="5" max="5" width="8.33203125" style="5"/>
    <col min="6" max="6" width="10.6640625" style="407" customWidth="1"/>
    <col min="7" max="7" width="11.33203125" style="7" customWidth="1"/>
    <col min="8" max="8" width="13.33203125" style="8" customWidth="1"/>
    <col min="9" max="9" width="16.5546875" style="429" customWidth="1"/>
    <col min="10" max="10" width="13" style="7" customWidth="1"/>
    <col min="11" max="16384" width="8.33203125" style="7"/>
  </cols>
  <sheetData>
    <row r="1" spans="1:10" ht="13.95" customHeight="1" x14ac:dyDescent="0.25">
      <c r="A1" s="4" t="s">
        <v>78</v>
      </c>
    </row>
    <row r="2" spans="1:10" s="10" customFormat="1" ht="11.4" customHeight="1" x14ac:dyDescent="0.3">
      <c r="A2" s="9"/>
      <c r="C2" s="12"/>
      <c r="E2" s="432" t="s">
        <v>80</v>
      </c>
      <c r="F2" s="439">
        <f>11584*2.5</f>
        <v>28960</v>
      </c>
      <c r="G2" s="440">
        <f>1450*1.04</f>
        <v>1508</v>
      </c>
      <c r="H2" s="12" t="s">
        <v>181</v>
      </c>
      <c r="I2" s="12" t="s">
        <v>180</v>
      </c>
    </row>
    <row r="3" spans="1:10" s="10" customFormat="1" ht="61.95" customHeight="1" x14ac:dyDescent="0.3">
      <c r="A3" s="9"/>
      <c r="B3" s="354"/>
      <c r="C3" s="420" t="s">
        <v>122</v>
      </c>
      <c r="D3" s="410" t="s">
        <v>177</v>
      </c>
      <c r="E3" s="411" t="s">
        <v>127</v>
      </c>
      <c r="F3" s="17" t="s">
        <v>83</v>
      </c>
      <c r="G3" s="425" t="s">
        <v>84</v>
      </c>
      <c r="H3" s="430" t="s">
        <v>179</v>
      </c>
      <c r="I3" s="430" t="s">
        <v>178</v>
      </c>
      <c r="J3" s="354" t="s">
        <v>114</v>
      </c>
    </row>
    <row r="4" spans="1:10" x14ac:dyDescent="0.25">
      <c r="A4" s="21" t="s">
        <v>9</v>
      </c>
      <c r="B4" s="422">
        <v>13</v>
      </c>
      <c r="C4" s="412">
        <v>4</v>
      </c>
      <c r="D4" s="412">
        <v>59</v>
      </c>
      <c r="E4" s="413">
        <v>10</v>
      </c>
      <c r="F4" s="22">
        <f>ROUNDUP(D4/5,0)</f>
        <v>12</v>
      </c>
      <c r="G4" s="426">
        <f>IF(E4&gt;F4,F4,E4)</f>
        <v>10</v>
      </c>
      <c r="H4" s="433">
        <f>C4*$G$2*12</f>
        <v>72384</v>
      </c>
      <c r="I4" s="433">
        <f>G4*$F$2</f>
        <v>289600</v>
      </c>
      <c r="J4" s="433">
        <f>H4+I4</f>
        <v>361984</v>
      </c>
    </row>
    <row r="5" spans="1:10" x14ac:dyDescent="0.25">
      <c r="A5" s="21" t="s">
        <v>10</v>
      </c>
      <c r="B5" s="422">
        <v>14</v>
      </c>
      <c r="C5" s="412">
        <v>0</v>
      </c>
      <c r="D5" s="412">
        <v>39</v>
      </c>
      <c r="E5" s="413">
        <v>7</v>
      </c>
      <c r="F5" s="22">
        <f t="shared" ref="F5:F68" si="0">ROUNDUP(D5/5,0)</f>
        <v>8</v>
      </c>
      <c r="G5" s="426">
        <f t="shared" ref="G5:G68" si="1">IF(E5&gt;F5,F5,E5)</f>
        <v>7</v>
      </c>
      <c r="H5" s="433">
        <f t="shared" ref="H5:H68" si="2">C5*$G$2*12</f>
        <v>0</v>
      </c>
      <c r="I5" s="433">
        <f t="shared" ref="I5:I68" si="3">G5*$F$2</f>
        <v>202720</v>
      </c>
      <c r="J5" s="433">
        <f t="shared" ref="J5:J68" si="4">H5+I5</f>
        <v>202720</v>
      </c>
    </row>
    <row r="6" spans="1:10" x14ac:dyDescent="0.25">
      <c r="A6" s="21" t="s">
        <v>44</v>
      </c>
      <c r="B6" s="422">
        <v>17</v>
      </c>
      <c r="C6" s="412">
        <v>3</v>
      </c>
      <c r="D6" s="412">
        <v>77</v>
      </c>
      <c r="E6" s="413">
        <v>15</v>
      </c>
      <c r="F6" s="22">
        <f t="shared" si="0"/>
        <v>16</v>
      </c>
      <c r="G6" s="426">
        <f t="shared" si="1"/>
        <v>15</v>
      </c>
      <c r="H6" s="433">
        <f t="shared" si="2"/>
        <v>54288</v>
      </c>
      <c r="I6" s="433">
        <f t="shared" si="3"/>
        <v>434400</v>
      </c>
      <c r="J6" s="433">
        <f t="shared" si="4"/>
        <v>488688</v>
      </c>
    </row>
    <row r="7" spans="1:10" x14ac:dyDescent="0.25">
      <c r="A7" s="26" t="s">
        <v>6</v>
      </c>
      <c r="B7" s="422">
        <v>20</v>
      </c>
      <c r="C7" s="412">
        <v>4</v>
      </c>
      <c r="D7" s="412">
        <v>77</v>
      </c>
      <c r="E7" s="413">
        <v>11</v>
      </c>
      <c r="F7" s="22">
        <f t="shared" si="0"/>
        <v>16</v>
      </c>
      <c r="G7" s="426">
        <f t="shared" si="1"/>
        <v>11</v>
      </c>
      <c r="H7" s="433">
        <f t="shared" si="2"/>
        <v>72384</v>
      </c>
      <c r="I7" s="433">
        <f t="shared" si="3"/>
        <v>318560</v>
      </c>
      <c r="J7" s="433">
        <f t="shared" si="4"/>
        <v>390944</v>
      </c>
    </row>
    <row r="8" spans="1:10" x14ac:dyDescent="0.25">
      <c r="A8" s="21" t="s">
        <v>45</v>
      </c>
      <c r="B8" s="422">
        <v>23</v>
      </c>
      <c r="C8" s="412">
        <v>0</v>
      </c>
      <c r="D8" s="412">
        <v>71</v>
      </c>
      <c r="E8" s="413">
        <v>12</v>
      </c>
      <c r="F8" s="22">
        <f t="shared" si="0"/>
        <v>15</v>
      </c>
      <c r="G8" s="426">
        <f t="shared" si="1"/>
        <v>12</v>
      </c>
      <c r="H8" s="433">
        <f t="shared" si="2"/>
        <v>0</v>
      </c>
      <c r="I8" s="433">
        <f t="shared" si="3"/>
        <v>347520</v>
      </c>
      <c r="J8" s="433">
        <f t="shared" si="4"/>
        <v>347520</v>
      </c>
    </row>
    <row r="9" spans="1:10" x14ac:dyDescent="0.25">
      <c r="A9" s="21" t="s">
        <v>11</v>
      </c>
      <c r="B9" s="422">
        <v>26</v>
      </c>
      <c r="C9" s="412">
        <v>2</v>
      </c>
      <c r="D9" s="412">
        <v>63</v>
      </c>
      <c r="E9" s="413">
        <v>15</v>
      </c>
      <c r="F9" s="22">
        <f t="shared" si="0"/>
        <v>13</v>
      </c>
      <c r="G9" s="426">
        <f t="shared" si="1"/>
        <v>13</v>
      </c>
      <c r="H9" s="433">
        <f t="shared" si="2"/>
        <v>36192</v>
      </c>
      <c r="I9" s="433">
        <f t="shared" si="3"/>
        <v>376480</v>
      </c>
      <c r="J9" s="433">
        <f t="shared" si="4"/>
        <v>412672</v>
      </c>
    </row>
    <row r="10" spans="1:10" x14ac:dyDescent="0.25">
      <c r="A10" s="21" t="s">
        <v>46</v>
      </c>
      <c r="B10" s="422">
        <v>34</v>
      </c>
      <c r="C10" s="412">
        <v>1</v>
      </c>
      <c r="D10" s="412">
        <v>87</v>
      </c>
      <c r="E10" s="413">
        <v>17</v>
      </c>
      <c r="F10" s="22">
        <f t="shared" si="0"/>
        <v>18</v>
      </c>
      <c r="G10" s="426">
        <f t="shared" si="1"/>
        <v>17</v>
      </c>
      <c r="H10" s="433">
        <f t="shared" si="2"/>
        <v>18096</v>
      </c>
      <c r="I10" s="433">
        <f t="shared" si="3"/>
        <v>492320</v>
      </c>
      <c r="J10" s="433">
        <f t="shared" si="4"/>
        <v>510416</v>
      </c>
    </row>
    <row r="11" spans="1:10" x14ac:dyDescent="0.25">
      <c r="A11" s="21" t="s">
        <v>24</v>
      </c>
      <c r="B11" s="422">
        <v>39</v>
      </c>
      <c r="C11" s="412">
        <v>1</v>
      </c>
      <c r="D11" s="412">
        <v>45</v>
      </c>
      <c r="E11" s="413">
        <v>8</v>
      </c>
      <c r="F11" s="22">
        <f t="shared" si="0"/>
        <v>9</v>
      </c>
      <c r="G11" s="426">
        <f t="shared" si="1"/>
        <v>8</v>
      </c>
      <c r="H11" s="433">
        <f t="shared" si="2"/>
        <v>18096</v>
      </c>
      <c r="I11" s="433">
        <f t="shared" si="3"/>
        <v>231680</v>
      </c>
      <c r="J11" s="433">
        <f t="shared" si="4"/>
        <v>249776</v>
      </c>
    </row>
    <row r="12" spans="1:10" x14ac:dyDescent="0.25">
      <c r="A12" s="21" t="s">
        <v>43</v>
      </c>
      <c r="B12" s="422">
        <v>268</v>
      </c>
      <c r="C12" s="412">
        <v>0</v>
      </c>
      <c r="D12" s="412">
        <v>52</v>
      </c>
      <c r="E12" s="413">
        <v>11</v>
      </c>
      <c r="F12" s="22">
        <f t="shared" si="0"/>
        <v>11</v>
      </c>
      <c r="G12" s="426">
        <f t="shared" si="1"/>
        <v>11</v>
      </c>
      <c r="H12" s="433">
        <f t="shared" si="2"/>
        <v>0</v>
      </c>
      <c r="I12" s="433">
        <f t="shared" si="3"/>
        <v>318560</v>
      </c>
      <c r="J12" s="433">
        <f t="shared" si="4"/>
        <v>318560</v>
      </c>
    </row>
    <row r="13" spans="1:10" x14ac:dyDescent="0.25">
      <c r="A13" s="21" t="s">
        <v>5</v>
      </c>
      <c r="B13" s="422">
        <v>323</v>
      </c>
      <c r="C13" s="412">
        <v>3</v>
      </c>
      <c r="D13" s="412">
        <v>59</v>
      </c>
      <c r="E13" s="413">
        <v>16</v>
      </c>
      <c r="F13" s="22">
        <f t="shared" si="0"/>
        <v>12</v>
      </c>
      <c r="G13" s="426">
        <f t="shared" si="1"/>
        <v>12</v>
      </c>
      <c r="H13" s="433">
        <f t="shared" si="2"/>
        <v>54288</v>
      </c>
      <c r="I13" s="433">
        <f t="shared" si="3"/>
        <v>347520</v>
      </c>
      <c r="J13" s="433">
        <f>H13+I13</f>
        <v>401808</v>
      </c>
    </row>
    <row r="14" spans="1:10" x14ac:dyDescent="0.25">
      <c r="A14" s="21" t="s">
        <v>39</v>
      </c>
      <c r="B14" s="422">
        <v>326</v>
      </c>
      <c r="C14" s="412">
        <v>0</v>
      </c>
      <c r="D14" s="412">
        <v>39</v>
      </c>
      <c r="E14" s="413">
        <v>9</v>
      </c>
      <c r="F14" s="22">
        <f t="shared" si="0"/>
        <v>8</v>
      </c>
      <c r="G14" s="426">
        <f t="shared" si="1"/>
        <v>8</v>
      </c>
      <c r="H14" s="433">
        <f t="shared" si="2"/>
        <v>0</v>
      </c>
      <c r="I14" s="433">
        <f t="shared" si="3"/>
        <v>231680</v>
      </c>
      <c r="J14" s="433">
        <f t="shared" si="4"/>
        <v>231680</v>
      </c>
    </row>
    <row r="15" spans="1:10" x14ac:dyDescent="0.25">
      <c r="A15" s="21" t="s">
        <v>12</v>
      </c>
      <c r="B15" s="422">
        <v>327</v>
      </c>
      <c r="C15" s="412">
        <v>0</v>
      </c>
      <c r="D15" s="412">
        <v>62</v>
      </c>
      <c r="E15" s="413">
        <v>8</v>
      </c>
      <c r="F15" s="22">
        <f t="shared" si="0"/>
        <v>13</v>
      </c>
      <c r="G15" s="426">
        <f t="shared" si="1"/>
        <v>8</v>
      </c>
      <c r="H15" s="433">
        <f t="shared" si="2"/>
        <v>0</v>
      </c>
      <c r="I15" s="433">
        <f t="shared" si="3"/>
        <v>231680</v>
      </c>
      <c r="J15" s="433">
        <f t="shared" si="4"/>
        <v>231680</v>
      </c>
    </row>
    <row r="16" spans="1:10" x14ac:dyDescent="0.25">
      <c r="A16" s="21" t="s">
        <v>13</v>
      </c>
      <c r="B16" s="422">
        <v>328</v>
      </c>
      <c r="C16" s="412">
        <v>0</v>
      </c>
      <c r="D16" s="412">
        <v>56</v>
      </c>
      <c r="E16" s="413">
        <v>13</v>
      </c>
      <c r="F16" s="22">
        <f t="shared" si="0"/>
        <v>12</v>
      </c>
      <c r="G16" s="426">
        <f t="shared" si="1"/>
        <v>12</v>
      </c>
      <c r="H16" s="433">
        <f t="shared" si="2"/>
        <v>0</v>
      </c>
      <c r="I16" s="433">
        <f t="shared" si="3"/>
        <v>347520</v>
      </c>
      <c r="J16" s="433">
        <f t="shared" si="4"/>
        <v>347520</v>
      </c>
    </row>
    <row r="17" spans="1:10" x14ac:dyDescent="0.25">
      <c r="A17" s="21" t="s">
        <v>14</v>
      </c>
      <c r="B17" s="422">
        <v>329</v>
      </c>
      <c r="C17" s="412">
        <v>0</v>
      </c>
      <c r="D17" s="414">
        <v>58</v>
      </c>
      <c r="E17" s="415">
        <v>13</v>
      </c>
      <c r="F17" s="22">
        <f t="shared" si="0"/>
        <v>12</v>
      </c>
      <c r="G17" s="426">
        <f t="shared" si="1"/>
        <v>12</v>
      </c>
      <c r="H17" s="433">
        <f t="shared" si="2"/>
        <v>0</v>
      </c>
      <c r="I17" s="433">
        <f t="shared" si="3"/>
        <v>347520</v>
      </c>
      <c r="J17" s="433">
        <f t="shared" si="4"/>
        <v>347520</v>
      </c>
    </row>
    <row r="18" spans="1:10" x14ac:dyDescent="0.25">
      <c r="A18" s="21" t="s">
        <v>47</v>
      </c>
      <c r="B18" s="422">
        <v>330</v>
      </c>
      <c r="C18" s="412">
        <v>1</v>
      </c>
      <c r="D18" s="412">
        <v>57</v>
      </c>
      <c r="E18" s="413">
        <v>10</v>
      </c>
      <c r="F18" s="22">
        <f t="shared" si="0"/>
        <v>12</v>
      </c>
      <c r="G18" s="426">
        <f t="shared" si="1"/>
        <v>10</v>
      </c>
      <c r="H18" s="433">
        <f t="shared" si="2"/>
        <v>18096</v>
      </c>
      <c r="I18" s="433">
        <f t="shared" si="3"/>
        <v>289600</v>
      </c>
      <c r="J18" s="433">
        <f t="shared" si="4"/>
        <v>307696</v>
      </c>
    </row>
    <row r="19" spans="1:10" x14ac:dyDescent="0.25">
      <c r="A19" s="21" t="s">
        <v>48</v>
      </c>
      <c r="B19" s="422">
        <v>331</v>
      </c>
      <c r="C19" s="412">
        <v>1</v>
      </c>
      <c r="D19" s="412">
        <v>40</v>
      </c>
      <c r="E19" s="413">
        <v>8</v>
      </c>
      <c r="F19" s="22">
        <f t="shared" si="0"/>
        <v>8</v>
      </c>
      <c r="G19" s="426">
        <f t="shared" si="1"/>
        <v>8</v>
      </c>
      <c r="H19" s="433">
        <f t="shared" si="2"/>
        <v>18096</v>
      </c>
      <c r="I19" s="433">
        <f t="shared" si="3"/>
        <v>231680</v>
      </c>
      <c r="J19" s="433">
        <f t="shared" si="4"/>
        <v>249776</v>
      </c>
    </row>
    <row r="20" spans="1:10" x14ac:dyDescent="0.25">
      <c r="A20" s="21" t="s">
        <v>0</v>
      </c>
      <c r="B20" s="422">
        <v>332</v>
      </c>
      <c r="C20" s="412">
        <v>1</v>
      </c>
      <c r="D20" s="412">
        <v>69</v>
      </c>
      <c r="E20" s="413">
        <v>11</v>
      </c>
      <c r="F20" s="22">
        <f t="shared" si="0"/>
        <v>14</v>
      </c>
      <c r="G20" s="426">
        <f t="shared" si="1"/>
        <v>11</v>
      </c>
      <c r="H20" s="433">
        <f t="shared" si="2"/>
        <v>18096</v>
      </c>
      <c r="I20" s="433">
        <f t="shared" si="3"/>
        <v>318560</v>
      </c>
      <c r="J20" s="433">
        <f t="shared" si="4"/>
        <v>336656</v>
      </c>
    </row>
    <row r="21" spans="1:10" x14ac:dyDescent="0.25">
      <c r="A21" s="21" t="s">
        <v>1</v>
      </c>
      <c r="B21" s="422">
        <v>333</v>
      </c>
      <c r="C21" s="412">
        <v>4</v>
      </c>
      <c r="D21" s="412">
        <v>72</v>
      </c>
      <c r="E21" s="413">
        <v>24</v>
      </c>
      <c r="F21" s="22">
        <f t="shared" si="0"/>
        <v>15</v>
      </c>
      <c r="G21" s="426">
        <f t="shared" si="1"/>
        <v>15</v>
      </c>
      <c r="H21" s="433">
        <f t="shared" si="2"/>
        <v>72384</v>
      </c>
      <c r="I21" s="433">
        <f t="shared" si="3"/>
        <v>434400</v>
      </c>
      <c r="J21" s="433">
        <f t="shared" si="4"/>
        <v>506784</v>
      </c>
    </row>
    <row r="22" spans="1:10" x14ac:dyDescent="0.25">
      <c r="A22" s="21" t="s">
        <v>2</v>
      </c>
      <c r="B22" s="422">
        <v>334</v>
      </c>
      <c r="C22" s="412">
        <v>2</v>
      </c>
      <c r="D22" s="412">
        <v>39</v>
      </c>
      <c r="E22" s="413">
        <v>8</v>
      </c>
      <c r="F22" s="22">
        <f t="shared" si="0"/>
        <v>8</v>
      </c>
      <c r="G22" s="426">
        <f t="shared" si="1"/>
        <v>8</v>
      </c>
      <c r="H22" s="433">
        <f t="shared" si="2"/>
        <v>36192</v>
      </c>
      <c r="I22" s="433">
        <f t="shared" si="3"/>
        <v>231680</v>
      </c>
      <c r="J22" s="433">
        <f t="shared" si="4"/>
        <v>267872</v>
      </c>
    </row>
    <row r="23" spans="1:10" x14ac:dyDescent="0.25">
      <c r="A23" s="21" t="s">
        <v>3</v>
      </c>
      <c r="B23" s="422">
        <v>336</v>
      </c>
      <c r="C23" s="412">
        <v>1</v>
      </c>
      <c r="D23" s="412">
        <v>34</v>
      </c>
      <c r="E23" s="413">
        <v>6</v>
      </c>
      <c r="F23" s="22">
        <f t="shared" si="0"/>
        <v>7</v>
      </c>
      <c r="G23" s="426">
        <f t="shared" si="1"/>
        <v>6</v>
      </c>
      <c r="H23" s="433">
        <f t="shared" si="2"/>
        <v>18096</v>
      </c>
      <c r="I23" s="433">
        <f t="shared" si="3"/>
        <v>173760</v>
      </c>
      <c r="J23" s="433">
        <f t="shared" si="4"/>
        <v>191856</v>
      </c>
    </row>
    <row r="24" spans="1:10" x14ac:dyDescent="0.25">
      <c r="A24" s="21" t="s">
        <v>4</v>
      </c>
      <c r="B24" s="422">
        <v>337</v>
      </c>
      <c r="C24" s="412">
        <v>2</v>
      </c>
      <c r="D24" s="412">
        <v>43</v>
      </c>
      <c r="E24" s="413">
        <v>5</v>
      </c>
      <c r="F24" s="22">
        <f t="shared" si="0"/>
        <v>9</v>
      </c>
      <c r="G24" s="426">
        <f t="shared" si="1"/>
        <v>5</v>
      </c>
      <c r="H24" s="433">
        <f t="shared" si="2"/>
        <v>36192</v>
      </c>
      <c r="I24" s="433">
        <f t="shared" si="3"/>
        <v>144800</v>
      </c>
      <c r="J24" s="433">
        <f t="shared" si="4"/>
        <v>180992</v>
      </c>
    </row>
    <row r="25" spans="1:10" x14ac:dyDescent="0.25">
      <c r="A25" s="29" t="s">
        <v>15</v>
      </c>
      <c r="B25" s="422">
        <v>338</v>
      </c>
      <c r="C25" s="412">
        <v>7</v>
      </c>
      <c r="D25" s="412">
        <v>50</v>
      </c>
      <c r="E25" s="413">
        <v>8</v>
      </c>
      <c r="F25" s="22">
        <f t="shared" si="0"/>
        <v>10</v>
      </c>
      <c r="G25" s="426">
        <f t="shared" si="1"/>
        <v>8</v>
      </c>
      <c r="H25" s="433">
        <f t="shared" si="2"/>
        <v>126672</v>
      </c>
      <c r="I25" s="433">
        <f t="shared" si="3"/>
        <v>231680</v>
      </c>
      <c r="J25" s="433">
        <f t="shared" si="4"/>
        <v>358352</v>
      </c>
    </row>
    <row r="26" spans="1:10" x14ac:dyDescent="0.25">
      <c r="A26" s="21" t="s">
        <v>16</v>
      </c>
      <c r="B26" s="422">
        <v>339</v>
      </c>
      <c r="C26" s="412">
        <v>3</v>
      </c>
      <c r="D26" s="412">
        <v>70</v>
      </c>
      <c r="E26" s="413">
        <v>19</v>
      </c>
      <c r="F26" s="22">
        <f t="shared" si="0"/>
        <v>14</v>
      </c>
      <c r="G26" s="426">
        <f t="shared" si="1"/>
        <v>14</v>
      </c>
      <c r="H26" s="433">
        <f t="shared" si="2"/>
        <v>54288</v>
      </c>
      <c r="I26" s="433">
        <f t="shared" si="3"/>
        <v>405440</v>
      </c>
      <c r="J26" s="433">
        <f t="shared" si="4"/>
        <v>459728</v>
      </c>
    </row>
    <row r="27" spans="1:10" x14ac:dyDescent="0.25">
      <c r="A27" s="21" t="s">
        <v>17</v>
      </c>
      <c r="B27" s="422">
        <v>340</v>
      </c>
      <c r="C27" s="412">
        <v>2</v>
      </c>
      <c r="D27" s="412">
        <v>28</v>
      </c>
      <c r="E27" s="413">
        <v>8</v>
      </c>
      <c r="F27" s="22">
        <f t="shared" si="0"/>
        <v>6</v>
      </c>
      <c r="G27" s="426">
        <f t="shared" si="1"/>
        <v>6</v>
      </c>
      <c r="H27" s="433">
        <f t="shared" si="2"/>
        <v>36192</v>
      </c>
      <c r="I27" s="433">
        <f t="shared" si="3"/>
        <v>173760</v>
      </c>
      <c r="J27" s="433">
        <f t="shared" si="4"/>
        <v>209952</v>
      </c>
    </row>
    <row r="28" spans="1:10" x14ac:dyDescent="0.25">
      <c r="A28" s="21" t="s">
        <v>18</v>
      </c>
      <c r="B28" s="422">
        <v>341</v>
      </c>
      <c r="C28" s="412">
        <v>0</v>
      </c>
      <c r="D28" s="412">
        <v>54</v>
      </c>
      <c r="E28" s="413">
        <v>10</v>
      </c>
      <c r="F28" s="22">
        <f t="shared" si="0"/>
        <v>11</v>
      </c>
      <c r="G28" s="426">
        <f t="shared" si="1"/>
        <v>10</v>
      </c>
      <c r="H28" s="433">
        <f t="shared" si="2"/>
        <v>0</v>
      </c>
      <c r="I28" s="433">
        <f t="shared" si="3"/>
        <v>289600</v>
      </c>
      <c r="J28" s="433">
        <f t="shared" si="4"/>
        <v>289600</v>
      </c>
    </row>
    <row r="29" spans="1:10" x14ac:dyDescent="0.25">
      <c r="A29" s="21" t="s">
        <v>19</v>
      </c>
      <c r="B29" s="422">
        <v>342</v>
      </c>
      <c r="C29" s="412">
        <v>0</v>
      </c>
      <c r="D29" s="412">
        <v>41</v>
      </c>
      <c r="E29" s="413">
        <v>9</v>
      </c>
      <c r="F29" s="22">
        <f t="shared" si="0"/>
        <v>9</v>
      </c>
      <c r="G29" s="426">
        <f t="shared" si="1"/>
        <v>9</v>
      </c>
      <c r="H29" s="433">
        <f t="shared" si="2"/>
        <v>0</v>
      </c>
      <c r="I29" s="433">
        <f t="shared" si="3"/>
        <v>260640</v>
      </c>
      <c r="J29" s="433">
        <f t="shared" si="4"/>
        <v>260640</v>
      </c>
    </row>
    <row r="30" spans="1:10" x14ac:dyDescent="0.25">
      <c r="A30" s="21" t="s">
        <v>41</v>
      </c>
      <c r="B30" s="422">
        <v>343</v>
      </c>
      <c r="C30" s="412">
        <v>1</v>
      </c>
      <c r="D30" s="412">
        <v>59</v>
      </c>
      <c r="E30" s="413">
        <v>4</v>
      </c>
      <c r="F30" s="22">
        <f t="shared" si="0"/>
        <v>12</v>
      </c>
      <c r="G30" s="426">
        <f t="shared" si="1"/>
        <v>4</v>
      </c>
      <c r="H30" s="433">
        <f>C30*$G$2*12</f>
        <v>18096</v>
      </c>
      <c r="I30" s="433">
        <f t="shared" si="3"/>
        <v>115840</v>
      </c>
      <c r="J30" s="433">
        <f t="shared" si="4"/>
        <v>133936</v>
      </c>
    </row>
    <row r="31" spans="1:10" x14ac:dyDescent="0.25">
      <c r="A31" s="21" t="s">
        <v>60</v>
      </c>
      <c r="B31" s="422">
        <v>344</v>
      </c>
      <c r="C31" s="412">
        <v>4</v>
      </c>
      <c r="D31" s="412">
        <v>109</v>
      </c>
      <c r="E31" s="413">
        <v>21</v>
      </c>
      <c r="F31" s="22">
        <f t="shared" si="0"/>
        <v>22</v>
      </c>
      <c r="G31" s="426">
        <f t="shared" si="1"/>
        <v>21</v>
      </c>
      <c r="H31" s="433">
        <f t="shared" si="2"/>
        <v>72384</v>
      </c>
      <c r="I31" s="433">
        <f t="shared" si="3"/>
        <v>608160</v>
      </c>
      <c r="J31" s="433">
        <f t="shared" si="4"/>
        <v>680544</v>
      </c>
    </row>
    <row r="32" spans="1:10" x14ac:dyDescent="0.25">
      <c r="A32" s="21" t="s">
        <v>20</v>
      </c>
      <c r="B32" s="422">
        <v>345</v>
      </c>
      <c r="C32" s="412">
        <v>2</v>
      </c>
      <c r="D32" s="412">
        <v>46</v>
      </c>
      <c r="E32" s="413">
        <v>12</v>
      </c>
      <c r="F32" s="22">
        <f t="shared" si="0"/>
        <v>10</v>
      </c>
      <c r="G32" s="426">
        <f t="shared" si="1"/>
        <v>10</v>
      </c>
      <c r="H32" s="433">
        <f t="shared" si="2"/>
        <v>36192</v>
      </c>
      <c r="I32" s="433">
        <f t="shared" si="3"/>
        <v>289600</v>
      </c>
      <c r="J32" s="433">
        <f t="shared" si="4"/>
        <v>325792</v>
      </c>
    </row>
    <row r="33" spans="1:10" x14ac:dyDescent="0.25">
      <c r="A33" s="29" t="s">
        <v>7</v>
      </c>
      <c r="B33" s="422">
        <v>346</v>
      </c>
      <c r="C33" s="412">
        <v>1</v>
      </c>
      <c r="D33" s="412">
        <v>83</v>
      </c>
      <c r="E33" s="413">
        <v>14</v>
      </c>
      <c r="F33" s="22">
        <f t="shared" si="0"/>
        <v>17</v>
      </c>
      <c r="G33" s="426">
        <f t="shared" si="1"/>
        <v>14</v>
      </c>
      <c r="H33" s="433">
        <f t="shared" si="2"/>
        <v>18096</v>
      </c>
      <c r="I33" s="433">
        <f t="shared" si="3"/>
        <v>405440</v>
      </c>
      <c r="J33" s="433">
        <f t="shared" si="4"/>
        <v>423536</v>
      </c>
    </row>
    <row r="34" spans="1:10" x14ac:dyDescent="0.25">
      <c r="A34" s="21" t="s">
        <v>21</v>
      </c>
      <c r="B34" s="422">
        <v>347</v>
      </c>
      <c r="C34" s="412">
        <v>0</v>
      </c>
      <c r="D34" s="412">
        <v>71</v>
      </c>
      <c r="E34" s="413">
        <v>14</v>
      </c>
      <c r="F34" s="22">
        <f t="shared" si="0"/>
        <v>15</v>
      </c>
      <c r="G34" s="426">
        <f t="shared" si="1"/>
        <v>14</v>
      </c>
      <c r="H34" s="433">
        <f t="shared" si="2"/>
        <v>0</v>
      </c>
      <c r="I34" s="433">
        <f t="shared" si="3"/>
        <v>405440</v>
      </c>
      <c r="J34" s="433">
        <f t="shared" si="4"/>
        <v>405440</v>
      </c>
    </row>
    <row r="35" spans="1:10" x14ac:dyDescent="0.25">
      <c r="A35" s="21" t="s">
        <v>22</v>
      </c>
      <c r="B35" s="422">
        <v>348</v>
      </c>
      <c r="C35" s="412">
        <v>3</v>
      </c>
      <c r="D35" s="416">
        <v>49</v>
      </c>
      <c r="E35" s="417">
        <v>7</v>
      </c>
      <c r="F35" s="22">
        <f t="shared" si="0"/>
        <v>10</v>
      </c>
      <c r="G35" s="426">
        <f t="shared" si="1"/>
        <v>7</v>
      </c>
      <c r="H35" s="433">
        <f t="shared" si="2"/>
        <v>54288</v>
      </c>
      <c r="I35" s="433">
        <f t="shared" si="3"/>
        <v>202720</v>
      </c>
      <c r="J35" s="433">
        <f t="shared" si="4"/>
        <v>257008</v>
      </c>
    </row>
    <row r="36" spans="1:10" x14ac:dyDescent="0.25">
      <c r="A36" s="21" t="s">
        <v>23</v>
      </c>
      <c r="B36" s="422">
        <v>350</v>
      </c>
      <c r="C36" s="412">
        <v>1</v>
      </c>
      <c r="D36" s="416">
        <v>52</v>
      </c>
      <c r="E36" s="417">
        <v>8</v>
      </c>
      <c r="F36" s="22">
        <f t="shared" si="0"/>
        <v>11</v>
      </c>
      <c r="G36" s="426">
        <f t="shared" si="1"/>
        <v>8</v>
      </c>
      <c r="H36" s="433">
        <f t="shared" si="2"/>
        <v>18096</v>
      </c>
      <c r="I36" s="433">
        <f t="shared" si="3"/>
        <v>231680</v>
      </c>
      <c r="J36" s="433">
        <f t="shared" si="4"/>
        <v>249776</v>
      </c>
    </row>
    <row r="37" spans="1:10" x14ac:dyDescent="0.25">
      <c r="A37" s="21" t="s">
        <v>25</v>
      </c>
      <c r="B37" s="422">
        <v>458</v>
      </c>
      <c r="C37" s="412">
        <v>3</v>
      </c>
      <c r="D37" s="416">
        <v>58</v>
      </c>
      <c r="E37" s="417">
        <v>11</v>
      </c>
      <c r="F37" s="22">
        <f t="shared" si="0"/>
        <v>12</v>
      </c>
      <c r="G37" s="426">
        <f t="shared" si="1"/>
        <v>11</v>
      </c>
      <c r="H37" s="433">
        <f t="shared" si="2"/>
        <v>54288</v>
      </c>
      <c r="I37" s="433">
        <f t="shared" si="3"/>
        <v>318560</v>
      </c>
      <c r="J37" s="433">
        <f t="shared" si="4"/>
        <v>372848</v>
      </c>
    </row>
    <row r="38" spans="1:10" x14ac:dyDescent="0.25">
      <c r="A38" s="21" t="s">
        <v>26</v>
      </c>
      <c r="B38" s="422">
        <v>497</v>
      </c>
      <c r="C38" s="412">
        <v>2</v>
      </c>
      <c r="D38" s="416">
        <v>46</v>
      </c>
      <c r="E38" s="417">
        <v>10</v>
      </c>
      <c r="F38" s="22">
        <f t="shared" si="0"/>
        <v>10</v>
      </c>
      <c r="G38" s="426">
        <f t="shared" si="1"/>
        <v>10</v>
      </c>
      <c r="H38" s="433">
        <f t="shared" si="2"/>
        <v>36192</v>
      </c>
      <c r="I38" s="433">
        <f t="shared" si="3"/>
        <v>289600</v>
      </c>
      <c r="J38" s="433">
        <f t="shared" si="4"/>
        <v>325792</v>
      </c>
    </row>
    <row r="39" spans="1:10" x14ac:dyDescent="0.25">
      <c r="A39" s="21" t="s">
        <v>8</v>
      </c>
      <c r="B39" s="422">
        <v>498</v>
      </c>
      <c r="C39" s="412">
        <v>1</v>
      </c>
      <c r="D39" s="412">
        <v>65</v>
      </c>
      <c r="E39" s="413">
        <v>13</v>
      </c>
      <c r="F39" s="22">
        <f t="shared" si="0"/>
        <v>13</v>
      </c>
      <c r="G39" s="426">
        <f t="shared" si="1"/>
        <v>13</v>
      </c>
      <c r="H39" s="433">
        <f t="shared" si="2"/>
        <v>18096</v>
      </c>
      <c r="I39" s="433">
        <f t="shared" si="3"/>
        <v>376480</v>
      </c>
      <c r="J39" s="433">
        <f t="shared" si="4"/>
        <v>394576</v>
      </c>
    </row>
    <row r="40" spans="1:10" x14ac:dyDescent="0.25">
      <c r="A40" s="21" t="s">
        <v>27</v>
      </c>
      <c r="B40" s="422">
        <v>512</v>
      </c>
      <c r="C40" s="412">
        <v>1</v>
      </c>
      <c r="D40" s="412">
        <v>50</v>
      </c>
      <c r="E40" s="413">
        <v>13</v>
      </c>
      <c r="F40" s="22">
        <f t="shared" si="0"/>
        <v>10</v>
      </c>
      <c r="G40" s="426">
        <f t="shared" si="1"/>
        <v>10</v>
      </c>
      <c r="H40" s="433">
        <f t="shared" si="2"/>
        <v>18096</v>
      </c>
      <c r="I40" s="433">
        <f t="shared" si="3"/>
        <v>289600</v>
      </c>
      <c r="J40" s="433">
        <f t="shared" si="4"/>
        <v>307696</v>
      </c>
    </row>
    <row r="41" spans="1:10" x14ac:dyDescent="0.25">
      <c r="A41" s="21" t="s">
        <v>28</v>
      </c>
      <c r="B41" s="422">
        <v>513</v>
      </c>
      <c r="C41" s="412">
        <v>6</v>
      </c>
      <c r="D41" s="412">
        <v>73</v>
      </c>
      <c r="E41" s="413">
        <v>17</v>
      </c>
      <c r="F41" s="22">
        <f t="shared" si="0"/>
        <v>15</v>
      </c>
      <c r="G41" s="426">
        <f t="shared" si="1"/>
        <v>15</v>
      </c>
      <c r="H41" s="433">
        <f t="shared" si="2"/>
        <v>108576</v>
      </c>
      <c r="I41" s="433">
        <f t="shared" si="3"/>
        <v>434400</v>
      </c>
      <c r="J41" s="433">
        <f t="shared" si="4"/>
        <v>542976</v>
      </c>
    </row>
    <row r="42" spans="1:10" x14ac:dyDescent="0.25">
      <c r="A42" s="21" t="s">
        <v>29</v>
      </c>
      <c r="B42" s="422">
        <v>516</v>
      </c>
      <c r="C42" s="412">
        <v>2</v>
      </c>
      <c r="D42" s="412">
        <v>45</v>
      </c>
      <c r="E42" s="413">
        <v>9</v>
      </c>
      <c r="F42" s="22">
        <f t="shared" si="0"/>
        <v>9</v>
      </c>
      <c r="G42" s="426">
        <f t="shared" si="1"/>
        <v>9</v>
      </c>
      <c r="H42" s="433">
        <f t="shared" si="2"/>
        <v>36192</v>
      </c>
      <c r="I42" s="433">
        <f t="shared" si="3"/>
        <v>260640</v>
      </c>
      <c r="J42" s="433">
        <f t="shared" si="4"/>
        <v>296832</v>
      </c>
    </row>
    <row r="43" spans="1:10" x14ac:dyDescent="0.25">
      <c r="A43" s="21" t="s">
        <v>30</v>
      </c>
      <c r="B43" s="422">
        <v>527</v>
      </c>
      <c r="C43" s="412">
        <v>1</v>
      </c>
      <c r="D43" s="412">
        <v>39</v>
      </c>
      <c r="E43" s="413">
        <v>8</v>
      </c>
      <c r="F43" s="22">
        <f t="shared" si="0"/>
        <v>8</v>
      </c>
      <c r="G43" s="426">
        <f t="shared" si="1"/>
        <v>8</v>
      </c>
      <c r="H43" s="433">
        <f t="shared" si="2"/>
        <v>18096</v>
      </c>
      <c r="I43" s="433">
        <f t="shared" si="3"/>
        <v>231680</v>
      </c>
      <c r="J43" s="433">
        <f t="shared" si="4"/>
        <v>249776</v>
      </c>
    </row>
    <row r="44" spans="1:10" x14ac:dyDescent="0.25">
      <c r="A44" s="21" t="s">
        <v>38</v>
      </c>
      <c r="B44" s="422" t="s">
        <v>182</v>
      </c>
      <c r="C44" s="412">
        <v>2</v>
      </c>
      <c r="D44" s="416">
        <v>137</v>
      </c>
      <c r="E44" s="417">
        <v>25</v>
      </c>
      <c r="F44" s="22">
        <f t="shared" si="0"/>
        <v>28</v>
      </c>
      <c r="G44" s="426">
        <f t="shared" si="1"/>
        <v>25</v>
      </c>
      <c r="H44" s="433">
        <f t="shared" si="2"/>
        <v>36192</v>
      </c>
      <c r="I44" s="433">
        <f t="shared" si="3"/>
        <v>724000</v>
      </c>
      <c r="J44" s="433">
        <f t="shared" si="4"/>
        <v>760192</v>
      </c>
    </row>
    <row r="45" spans="1:10" x14ac:dyDescent="0.25">
      <c r="A45" s="21" t="s">
        <v>49</v>
      </c>
      <c r="B45" s="422">
        <v>557</v>
      </c>
      <c r="C45" s="412">
        <v>1</v>
      </c>
      <c r="D45" s="416">
        <v>47</v>
      </c>
      <c r="E45" s="417">
        <v>15</v>
      </c>
      <c r="F45" s="22">
        <f t="shared" si="0"/>
        <v>10</v>
      </c>
      <c r="G45" s="426">
        <f t="shared" si="1"/>
        <v>10</v>
      </c>
      <c r="H45" s="433">
        <f t="shared" si="2"/>
        <v>18096</v>
      </c>
      <c r="I45" s="433">
        <f t="shared" si="3"/>
        <v>289600</v>
      </c>
      <c r="J45" s="433">
        <f t="shared" si="4"/>
        <v>307696</v>
      </c>
    </row>
    <row r="46" spans="1:10" x14ac:dyDescent="0.25">
      <c r="A46" s="21" t="s">
        <v>31</v>
      </c>
      <c r="B46" s="422">
        <v>569</v>
      </c>
      <c r="C46" s="412">
        <v>4</v>
      </c>
      <c r="D46" s="416">
        <v>67</v>
      </c>
      <c r="E46" s="417">
        <v>25</v>
      </c>
      <c r="F46" s="22">
        <f t="shared" si="0"/>
        <v>14</v>
      </c>
      <c r="G46" s="426">
        <f t="shared" si="1"/>
        <v>14</v>
      </c>
      <c r="H46" s="433">
        <f t="shared" si="2"/>
        <v>72384</v>
      </c>
      <c r="I46" s="433">
        <f t="shared" si="3"/>
        <v>405440</v>
      </c>
      <c r="J46" s="433">
        <f t="shared" si="4"/>
        <v>477824</v>
      </c>
    </row>
    <row r="47" spans="1:10" x14ac:dyDescent="0.25">
      <c r="A47" s="21" t="s">
        <v>32</v>
      </c>
      <c r="B47" s="422">
        <v>570</v>
      </c>
      <c r="C47" s="412">
        <v>2</v>
      </c>
      <c r="D47" s="416">
        <v>56</v>
      </c>
      <c r="E47" s="417">
        <v>16</v>
      </c>
      <c r="F47" s="22">
        <f t="shared" si="0"/>
        <v>12</v>
      </c>
      <c r="G47" s="426">
        <f t="shared" si="1"/>
        <v>12</v>
      </c>
      <c r="H47" s="433">
        <f t="shared" si="2"/>
        <v>36192</v>
      </c>
      <c r="I47" s="433">
        <f t="shared" si="3"/>
        <v>347520</v>
      </c>
      <c r="J47" s="433">
        <f t="shared" si="4"/>
        <v>383712</v>
      </c>
    </row>
    <row r="48" spans="1:10" x14ac:dyDescent="0.25">
      <c r="A48" s="21" t="s">
        <v>33</v>
      </c>
      <c r="B48" s="422">
        <v>571</v>
      </c>
      <c r="C48" s="412">
        <v>0</v>
      </c>
      <c r="D48" s="416">
        <v>66</v>
      </c>
      <c r="E48" s="417">
        <v>16</v>
      </c>
      <c r="F48" s="22">
        <f t="shared" si="0"/>
        <v>14</v>
      </c>
      <c r="G48" s="426">
        <f t="shared" si="1"/>
        <v>14</v>
      </c>
      <c r="H48" s="433">
        <f t="shared" si="2"/>
        <v>0</v>
      </c>
      <c r="I48" s="433">
        <f t="shared" si="3"/>
        <v>405440</v>
      </c>
      <c r="J48" s="433">
        <f t="shared" si="4"/>
        <v>405440</v>
      </c>
    </row>
    <row r="49" spans="1:10" x14ac:dyDescent="0.25">
      <c r="A49" s="21" t="s">
        <v>34</v>
      </c>
      <c r="B49" s="422">
        <v>572</v>
      </c>
      <c r="C49" s="412">
        <v>4</v>
      </c>
      <c r="D49" s="416">
        <v>56</v>
      </c>
      <c r="E49" s="417">
        <v>9</v>
      </c>
      <c r="F49" s="22">
        <f t="shared" si="0"/>
        <v>12</v>
      </c>
      <c r="G49" s="426">
        <f t="shared" si="1"/>
        <v>9</v>
      </c>
      <c r="H49" s="433">
        <f t="shared" si="2"/>
        <v>72384</v>
      </c>
      <c r="I49" s="433">
        <f t="shared" si="3"/>
        <v>260640</v>
      </c>
      <c r="J49" s="433">
        <f t="shared" si="4"/>
        <v>333024</v>
      </c>
    </row>
    <row r="50" spans="1:10" x14ac:dyDescent="0.25">
      <c r="A50" s="21" t="s">
        <v>40</v>
      </c>
      <c r="B50" s="422">
        <v>574</v>
      </c>
      <c r="C50" s="412">
        <v>1</v>
      </c>
      <c r="D50" s="416">
        <v>65</v>
      </c>
      <c r="E50" s="417">
        <v>15</v>
      </c>
      <c r="F50" s="22">
        <f t="shared" si="0"/>
        <v>13</v>
      </c>
      <c r="G50" s="426">
        <f t="shared" si="1"/>
        <v>13</v>
      </c>
      <c r="H50" s="433">
        <f t="shared" si="2"/>
        <v>18096</v>
      </c>
      <c r="I50" s="433">
        <f t="shared" si="3"/>
        <v>376480</v>
      </c>
      <c r="J50" s="433">
        <f t="shared" si="4"/>
        <v>394576</v>
      </c>
    </row>
    <row r="51" spans="1:10" x14ac:dyDescent="0.25">
      <c r="A51" s="21" t="s">
        <v>37</v>
      </c>
      <c r="B51" s="422">
        <v>591</v>
      </c>
      <c r="C51" s="412">
        <v>2</v>
      </c>
      <c r="D51" s="416">
        <v>42</v>
      </c>
      <c r="E51" s="417">
        <v>8</v>
      </c>
      <c r="F51" s="22">
        <f t="shared" si="0"/>
        <v>9</v>
      </c>
      <c r="G51" s="426">
        <f t="shared" si="1"/>
        <v>8</v>
      </c>
      <c r="H51" s="433">
        <f t="shared" si="2"/>
        <v>36192</v>
      </c>
      <c r="I51" s="433">
        <f t="shared" si="3"/>
        <v>231680</v>
      </c>
      <c r="J51" s="433">
        <f t="shared" si="4"/>
        <v>267872</v>
      </c>
    </row>
    <row r="52" spans="1:10" ht="15.6" customHeight="1" x14ac:dyDescent="0.25">
      <c r="A52" s="21" t="s">
        <v>35</v>
      </c>
      <c r="B52" s="435">
        <v>592</v>
      </c>
      <c r="C52" s="412">
        <v>0</v>
      </c>
      <c r="D52" s="416"/>
      <c r="E52" s="417"/>
      <c r="F52" s="22">
        <f t="shared" si="0"/>
        <v>0</v>
      </c>
      <c r="G52" s="426">
        <f t="shared" si="1"/>
        <v>0</v>
      </c>
      <c r="H52" s="433">
        <f t="shared" si="2"/>
        <v>0</v>
      </c>
      <c r="I52" s="433">
        <f t="shared" si="3"/>
        <v>0</v>
      </c>
      <c r="J52" s="433">
        <f t="shared" si="4"/>
        <v>0</v>
      </c>
    </row>
    <row r="53" spans="1:10" x14ac:dyDescent="0.25">
      <c r="A53" s="21" t="s">
        <v>36</v>
      </c>
      <c r="B53" s="422">
        <v>593</v>
      </c>
      <c r="C53" s="412">
        <v>2</v>
      </c>
      <c r="D53" s="416">
        <v>49</v>
      </c>
      <c r="E53" s="417">
        <v>10</v>
      </c>
      <c r="F53" s="22">
        <f t="shared" si="0"/>
        <v>10</v>
      </c>
      <c r="G53" s="426">
        <f t="shared" si="1"/>
        <v>10</v>
      </c>
      <c r="H53" s="433">
        <f t="shared" si="2"/>
        <v>36192</v>
      </c>
      <c r="I53" s="433">
        <f t="shared" si="3"/>
        <v>289600</v>
      </c>
      <c r="J53" s="433">
        <f t="shared" si="4"/>
        <v>325792</v>
      </c>
    </row>
    <row r="54" spans="1:10" x14ac:dyDescent="0.25">
      <c r="A54" s="21" t="s">
        <v>42</v>
      </c>
      <c r="B54" s="422">
        <v>625</v>
      </c>
      <c r="C54" s="412">
        <v>2</v>
      </c>
      <c r="D54" s="416">
        <v>82</v>
      </c>
      <c r="E54" s="417">
        <v>18</v>
      </c>
      <c r="F54" s="22">
        <f t="shared" si="0"/>
        <v>17</v>
      </c>
      <c r="G54" s="426">
        <f t="shared" si="1"/>
        <v>17</v>
      </c>
      <c r="H54" s="433">
        <f t="shared" si="2"/>
        <v>36192</v>
      </c>
      <c r="I54" s="433">
        <f t="shared" si="3"/>
        <v>492320</v>
      </c>
      <c r="J54" s="433">
        <f t="shared" si="4"/>
        <v>528512</v>
      </c>
    </row>
    <row r="55" spans="1:10" x14ac:dyDescent="0.25">
      <c r="A55" s="21" t="s">
        <v>63</v>
      </c>
      <c r="B55" s="422">
        <v>627</v>
      </c>
      <c r="C55" s="412">
        <v>3</v>
      </c>
      <c r="D55" s="416">
        <v>98</v>
      </c>
      <c r="E55" s="417">
        <v>20</v>
      </c>
      <c r="F55" s="22">
        <f t="shared" si="0"/>
        <v>20</v>
      </c>
      <c r="G55" s="426">
        <f t="shared" si="1"/>
        <v>20</v>
      </c>
      <c r="H55" s="433">
        <f t="shared" si="2"/>
        <v>54288</v>
      </c>
      <c r="I55" s="433">
        <f t="shared" si="3"/>
        <v>579200</v>
      </c>
      <c r="J55" s="433">
        <f t="shared" si="4"/>
        <v>633488</v>
      </c>
    </row>
    <row r="56" spans="1:10" x14ac:dyDescent="0.25">
      <c r="A56" s="21" t="s">
        <v>50</v>
      </c>
      <c r="B56" s="422">
        <v>639</v>
      </c>
      <c r="C56" s="412">
        <v>0</v>
      </c>
      <c r="D56" s="416">
        <v>67</v>
      </c>
      <c r="E56" s="417">
        <v>10</v>
      </c>
      <c r="F56" s="22">
        <f t="shared" si="0"/>
        <v>14</v>
      </c>
      <c r="G56" s="426">
        <f t="shared" si="1"/>
        <v>10</v>
      </c>
      <c r="H56" s="433">
        <f t="shared" si="2"/>
        <v>0</v>
      </c>
      <c r="I56" s="433">
        <f t="shared" si="3"/>
        <v>289600</v>
      </c>
      <c r="J56" s="433">
        <f t="shared" si="4"/>
        <v>289600</v>
      </c>
    </row>
    <row r="57" spans="1:10" x14ac:dyDescent="0.25">
      <c r="A57" s="21" t="s">
        <v>59</v>
      </c>
      <c r="B57" s="422">
        <v>641</v>
      </c>
      <c r="C57" s="412">
        <v>0</v>
      </c>
      <c r="D57" s="416">
        <v>60</v>
      </c>
      <c r="E57" s="417">
        <v>11</v>
      </c>
      <c r="F57" s="22">
        <f t="shared" si="0"/>
        <v>12</v>
      </c>
      <c r="G57" s="426">
        <f t="shared" si="1"/>
        <v>11</v>
      </c>
      <c r="H57" s="433">
        <f t="shared" si="2"/>
        <v>0</v>
      </c>
      <c r="I57" s="433">
        <f t="shared" si="3"/>
        <v>318560</v>
      </c>
      <c r="J57" s="433">
        <f t="shared" si="4"/>
        <v>318560</v>
      </c>
    </row>
    <row r="58" spans="1:10" x14ac:dyDescent="0.25">
      <c r="A58" s="21" t="s">
        <v>51</v>
      </c>
      <c r="B58" s="422">
        <v>667</v>
      </c>
      <c r="C58" s="412">
        <v>0</v>
      </c>
      <c r="D58" s="416">
        <v>78</v>
      </c>
      <c r="E58" s="417">
        <v>16</v>
      </c>
      <c r="F58" s="22">
        <f t="shared" si="0"/>
        <v>16</v>
      </c>
      <c r="G58" s="426">
        <f t="shared" si="1"/>
        <v>16</v>
      </c>
      <c r="H58" s="433">
        <f t="shared" si="2"/>
        <v>0</v>
      </c>
      <c r="I58" s="433">
        <f t="shared" si="3"/>
        <v>463360</v>
      </c>
      <c r="J58" s="433">
        <f t="shared" si="4"/>
        <v>463360</v>
      </c>
    </row>
    <row r="59" spans="1:10" x14ac:dyDescent="0.25">
      <c r="A59" s="29" t="s">
        <v>62</v>
      </c>
      <c r="B59" s="422">
        <v>689</v>
      </c>
      <c r="C59" s="412">
        <v>2</v>
      </c>
      <c r="D59" s="416">
        <v>23</v>
      </c>
      <c r="E59" s="417">
        <v>2</v>
      </c>
      <c r="F59" s="22">
        <f t="shared" si="0"/>
        <v>5</v>
      </c>
      <c r="G59" s="426">
        <f t="shared" si="1"/>
        <v>2</v>
      </c>
      <c r="H59" s="433">
        <f t="shared" si="2"/>
        <v>36192</v>
      </c>
      <c r="I59" s="433">
        <f t="shared" si="3"/>
        <v>57920</v>
      </c>
      <c r="J59" s="433">
        <f t="shared" si="4"/>
        <v>94112</v>
      </c>
    </row>
    <row r="60" spans="1:10" x14ac:dyDescent="0.25">
      <c r="B60" s="422">
        <v>690</v>
      </c>
      <c r="C60" s="412">
        <v>4</v>
      </c>
      <c r="D60" s="412">
        <v>46</v>
      </c>
      <c r="E60" s="413">
        <v>33</v>
      </c>
      <c r="F60" s="22">
        <f t="shared" si="0"/>
        <v>10</v>
      </c>
      <c r="G60" s="426">
        <f t="shared" si="1"/>
        <v>10</v>
      </c>
      <c r="H60" s="433">
        <f t="shared" si="2"/>
        <v>72384</v>
      </c>
      <c r="I60" s="433">
        <f t="shared" si="3"/>
        <v>289600</v>
      </c>
      <c r="J60" s="433">
        <f t="shared" si="4"/>
        <v>361984</v>
      </c>
    </row>
    <row r="61" spans="1:10" x14ac:dyDescent="0.25">
      <c r="B61" s="422">
        <v>691</v>
      </c>
      <c r="C61" s="412">
        <v>4</v>
      </c>
      <c r="D61" s="412">
        <v>50</v>
      </c>
      <c r="E61" s="413">
        <v>10</v>
      </c>
      <c r="F61" s="22">
        <f t="shared" si="0"/>
        <v>10</v>
      </c>
      <c r="G61" s="426">
        <f t="shared" si="1"/>
        <v>10</v>
      </c>
      <c r="H61" s="433">
        <f t="shared" si="2"/>
        <v>72384</v>
      </c>
      <c r="I61" s="433">
        <f t="shared" si="3"/>
        <v>289600</v>
      </c>
      <c r="J61" s="433">
        <f t="shared" si="4"/>
        <v>361984</v>
      </c>
    </row>
    <row r="62" spans="1:10" x14ac:dyDescent="0.25">
      <c r="A62" s="21" t="s">
        <v>55</v>
      </c>
      <c r="B62" s="423" t="s">
        <v>93</v>
      </c>
      <c r="C62" s="412">
        <v>1</v>
      </c>
      <c r="D62" s="412">
        <v>29</v>
      </c>
      <c r="E62" s="413">
        <v>5</v>
      </c>
      <c r="F62" s="22">
        <f t="shared" si="0"/>
        <v>6</v>
      </c>
      <c r="G62" s="426">
        <f t="shared" si="1"/>
        <v>5</v>
      </c>
      <c r="H62" s="433">
        <f t="shared" si="2"/>
        <v>18096</v>
      </c>
      <c r="I62" s="433">
        <f t="shared" si="3"/>
        <v>144800</v>
      </c>
      <c r="J62" s="433">
        <f t="shared" si="4"/>
        <v>162896</v>
      </c>
    </row>
    <row r="63" spans="1:10" x14ac:dyDescent="0.25">
      <c r="A63" s="21" t="s">
        <v>61</v>
      </c>
      <c r="B63" s="423" t="s">
        <v>94</v>
      </c>
      <c r="C63" s="412">
        <v>0</v>
      </c>
      <c r="D63" s="412">
        <v>35</v>
      </c>
      <c r="E63" s="413">
        <v>7</v>
      </c>
      <c r="F63" s="22">
        <f t="shared" si="0"/>
        <v>7</v>
      </c>
      <c r="G63" s="426">
        <f t="shared" si="1"/>
        <v>7</v>
      </c>
      <c r="H63" s="433">
        <f t="shared" si="2"/>
        <v>0</v>
      </c>
      <c r="I63" s="433">
        <f t="shared" si="3"/>
        <v>202720</v>
      </c>
      <c r="J63" s="433">
        <f t="shared" si="4"/>
        <v>202720</v>
      </c>
    </row>
    <row r="64" spans="1:10" ht="16.95" customHeight="1" x14ac:dyDescent="0.25">
      <c r="A64" s="21" t="s">
        <v>95</v>
      </c>
      <c r="B64" s="423" t="s">
        <v>96</v>
      </c>
      <c r="C64" s="412">
        <v>5</v>
      </c>
      <c r="D64" s="412">
        <v>66</v>
      </c>
      <c r="E64" s="413">
        <v>32</v>
      </c>
      <c r="F64" s="22">
        <f t="shared" si="0"/>
        <v>14</v>
      </c>
      <c r="G64" s="426">
        <f t="shared" si="1"/>
        <v>14</v>
      </c>
      <c r="H64" s="433">
        <f t="shared" si="2"/>
        <v>90480</v>
      </c>
      <c r="I64" s="433">
        <f t="shared" si="3"/>
        <v>405440</v>
      </c>
      <c r="J64" s="433">
        <f t="shared" si="4"/>
        <v>495920</v>
      </c>
    </row>
    <row r="65" spans="1:10" x14ac:dyDescent="0.25">
      <c r="A65" s="21" t="s">
        <v>52</v>
      </c>
      <c r="B65" s="423" t="s">
        <v>97</v>
      </c>
      <c r="C65" s="412">
        <v>1</v>
      </c>
      <c r="D65" s="412">
        <v>72</v>
      </c>
      <c r="E65" s="413">
        <v>13</v>
      </c>
      <c r="F65" s="22">
        <f t="shared" si="0"/>
        <v>15</v>
      </c>
      <c r="G65" s="426">
        <f t="shared" si="1"/>
        <v>13</v>
      </c>
      <c r="H65" s="433">
        <f t="shared" si="2"/>
        <v>18096</v>
      </c>
      <c r="I65" s="433">
        <f t="shared" si="3"/>
        <v>376480</v>
      </c>
      <c r="J65" s="433">
        <f t="shared" si="4"/>
        <v>394576</v>
      </c>
    </row>
    <row r="66" spans="1:10" x14ac:dyDescent="0.25">
      <c r="A66" s="21" t="s">
        <v>57</v>
      </c>
      <c r="B66" s="423" t="s">
        <v>98</v>
      </c>
      <c r="C66" s="412">
        <v>9</v>
      </c>
      <c r="D66" s="412">
        <v>91</v>
      </c>
      <c r="E66" s="413">
        <v>13</v>
      </c>
      <c r="F66" s="22">
        <f t="shared" si="0"/>
        <v>19</v>
      </c>
      <c r="G66" s="426">
        <f t="shared" si="1"/>
        <v>13</v>
      </c>
      <c r="H66" s="433">
        <f t="shared" si="2"/>
        <v>162864</v>
      </c>
      <c r="I66" s="433">
        <f t="shared" si="3"/>
        <v>376480</v>
      </c>
      <c r="J66" s="433">
        <f t="shared" si="4"/>
        <v>539344</v>
      </c>
    </row>
    <row r="67" spans="1:10" x14ac:dyDescent="0.25">
      <c r="A67" s="21" t="s">
        <v>99</v>
      </c>
      <c r="B67" s="423" t="s">
        <v>100</v>
      </c>
      <c r="C67" s="412">
        <v>0</v>
      </c>
      <c r="D67" s="412">
        <v>15</v>
      </c>
      <c r="E67" s="413">
        <v>2</v>
      </c>
      <c r="F67" s="22">
        <f t="shared" si="0"/>
        <v>3</v>
      </c>
      <c r="G67" s="426">
        <f t="shared" si="1"/>
        <v>2</v>
      </c>
      <c r="H67" s="433">
        <f t="shared" si="2"/>
        <v>0</v>
      </c>
      <c r="I67" s="433">
        <f t="shared" si="3"/>
        <v>57920</v>
      </c>
      <c r="J67" s="433">
        <f t="shared" si="4"/>
        <v>57920</v>
      </c>
    </row>
    <row r="68" spans="1:10" ht="13.2" customHeight="1" x14ac:dyDescent="0.25">
      <c r="A68" s="21" t="s">
        <v>147</v>
      </c>
      <c r="B68" s="423" t="s">
        <v>101</v>
      </c>
      <c r="C68" s="412">
        <v>3</v>
      </c>
      <c r="D68" s="412">
        <v>59</v>
      </c>
      <c r="E68" s="413">
        <v>23</v>
      </c>
      <c r="F68" s="22">
        <f t="shared" si="0"/>
        <v>12</v>
      </c>
      <c r="G68" s="426">
        <f t="shared" si="1"/>
        <v>12</v>
      </c>
      <c r="H68" s="433">
        <f t="shared" si="2"/>
        <v>54288</v>
      </c>
      <c r="I68" s="433">
        <f t="shared" si="3"/>
        <v>347520</v>
      </c>
      <c r="J68" s="433">
        <f t="shared" si="4"/>
        <v>401808</v>
      </c>
    </row>
    <row r="69" spans="1:10" x14ac:dyDescent="0.25">
      <c r="A69" s="21" t="s">
        <v>148</v>
      </c>
      <c r="B69" s="423" t="s">
        <v>102</v>
      </c>
      <c r="C69" s="412">
        <v>2</v>
      </c>
      <c r="D69" s="412">
        <v>70</v>
      </c>
      <c r="E69" s="413">
        <v>15</v>
      </c>
      <c r="F69" s="22">
        <f t="shared" ref="F69:F75" si="5">ROUNDUP(D69/5,0)</f>
        <v>14</v>
      </c>
      <c r="G69" s="426">
        <f>IF(E69&gt;F69,F69,E69)</f>
        <v>14</v>
      </c>
      <c r="H69" s="433">
        <f t="shared" ref="H69:H75" si="6">C69*$G$2*12</f>
        <v>36192</v>
      </c>
      <c r="I69" s="433">
        <f t="shared" ref="I69:I75" si="7">G69*$F$2</f>
        <v>405440</v>
      </c>
      <c r="J69" s="433">
        <f t="shared" ref="J69:J75" si="8">H69+I69</f>
        <v>441632</v>
      </c>
    </row>
    <row r="70" spans="1:10" x14ac:dyDescent="0.25">
      <c r="A70" s="21" t="s">
        <v>149</v>
      </c>
      <c r="B70" s="423" t="s">
        <v>103</v>
      </c>
      <c r="C70" s="412">
        <v>1</v>
      </c>
      <c r="D70" s="412">
        <v>12</v>
      </c>
      <c r="E70" s="413">
        <v>2</v>
      </c>
      <c r="F70" s="22">
        <f t="shared" si="5"/>
        <v>3</v>
      </c>
      <c r="G70" s="426">
        <f>IF(E70&gt;F70,F70,E70)</f>
        <v>2</v>
      </c>
      <c r="H70" s="433">
        <f t="shared" si="6"/>
        <v>18096</v>
      </c>
      <c r="I70" s="433">
        <f t="shared" si="7"/>
        <v>57920</v>
      </c>
      <c r="J70" s="433">
        <f t="shared" si="8"/>
        <v>76016</v>
      </c>
    </row>
    <row r="71" spans="1:10" x14ac:dyDescent="0.25">
      <c r="A71" s="21" t="s">
        <v>56</v>
      </c>
      <c r="B71" s="423" t="s">
        <v>69</v>
      </c>
      <c r="C71" s="412">
        <v>0</v>
      </c>
      <c r="D71" s="412">
        <v>14</v>
      </c>
      <c r="E71" s="413">
        <v>4</v>
      </c>
      <c r="F71" s="22">
        <f t="shared" si="5"/>
        <v>3</v>
      </c>
      <c r="G71" s="426">
        <f>IF(E71&gt;F71,F71,E71)</f>
        <v>3</v>
      </c>
      <c r="H71" s="433">
        <f t="shared" si="6"/>
        <v>0</v>
      </c>
      <c r="I71" s="433">
        <f t="shared" si="7"/>
        <v>86880</v>
      </c>
      <c r="J71" s="433">
        <f t="shared" si="8"/>
        <v>86880</v>
      </c>
    </row>
    <row r="72" spans="1:10" ht="19.2" customHeight="1" x14ac:dyDescent="0.25">
      <c r="A72" s="21" t="s">
        <v>53</v>
      </c>
      <c r="B72" s="424" t="s">
        <v>104</v>
      </c>
      <c r="C72" s="412">
        <v>1</v>
      </c>
      <c r="D72" s="412">
        <v>41</v>
      </c>
      <c r="E72" s="413">
        <v>7</v>
      </c>
      <c r="F72" s="22">
        <f t="shared" si="5"/>
        <v>9</v>
      </c>
      <c r="G72" s="426">
        <f>IF(E72&gt;F72,F72,E72)</f>
        <v>7</v>
      </c>
      <c r="H72" s="433">
        <f t="shared" si="6"/>
        <v>18096</v>
      </c>
      <c r="I72" s="433">
        <f t="shared" si="7"/>
        <v>202720</v>
      </c>
      <c r="J72" s="433">
        <f t="shared" si="8"/>
        <v>220816</v>
      </c>
    </row>
    <row r="73" spans="1:10" x14ac:dyDescent="0.25">
      <c r="A73" s="21" t="s">
        <v>58</v>
      </c>
      <c r="B73" s="423" t="s">
        <v>105</v>
      </c>
      <c r="C73" s="412">
        <v>1</v>
      </c>
      <c r="D73" s="412">
        <v>40</v>
      </c>
      <c r="E73" s="413">
        <v>9</v>
      </c>
      <c r="F73" s="22">
        <f t="shared" si="5"/>
        <v>8</v>
      </c>
      <c r="G73" s="427">
        <v>9</v>
      </c>
      <c r="H73" s="433">
        <f t="shared" si="6"/>
        <v>18096</v>
      </c>
      <c r="I73" s="433">
        <f t="shared" si="7"/>
        <v>260640</v>
      </c>
      <c r="J73" s="433">
        <f t="shared" si="8"/>
        <v>278736</v>
      </c>
    </row>
    <row r="74" spans="1:10" ht="26.4" x14ac:dyDescent="0.25">
      <c r="A74" s="21" t="s">
        <v>54</v>
      </c>
      <c r="B74" s="424" t="s">
        <v>106</v>
      </c>
      <c r="C74" s="412">
        <v>1</v>
      </c>
      <c r="D74" s="412">
        <v>63</v>
      </c>
      <c r="E74" s="413">
        <v>14</v>
      </c>
      <c r="F74" s="22">
        <f t="shared" si="5"/>
        <v>13</v>
      </c>
      <c r="G74" s="426">
        <f>IF(E74&gt;F74,F74,E74)</f>
        <v>13</v>
      </c>
      <c r="H74" s="433">
        <f t="shared" si="6"/>
        <v>18096</v>
      </c>
      <c r="I74" s="433">
        <f t="shared" si="7"/>
        <v>376480</v>
      </c>
      <c r="J74" s="433">
        <f t="shared" si="8"/>
        <v>394576</v>
      </c>
    </row>
    <row r="75" spans="1:10" x14ac:dyDescent="0.25">
      <c r="A75" s="21" t="s">
        <v>107</v>
      </c>
      <c r="B75" s="423" t="s">
        <v>108</v>
      </c>
      <c r="C75" s="412">
        <v>0</v>
      </c>
      <c r="D75" s="412">
        <v>46</v>
      </c>
      <c r="E75" s="413">
        <v>5</v>
      </c>
      <c r="F75" s="22">
        <f t="shared" si="5"/>
        <v>10</v>
      </c>
      <c r="G75" s="426">
        <f>IF(E75&gt;F75,F75,E75)</f>
        <v>5</v>
      </c>
      <c r="H75" s="433">
        <f t="shared" si="6"/>
        <v>0</v>
      </c>
      <c r="I75" s="433">
        <f t="shared" si="7"/>
        <v>144800</v>
      </c>
      <c r="J75" s="433">
        <f t="shared" si="8"/>
        <v>144800</v>
      </c>
    </row>
    <row r="76" spans="1:10" s="35" customFormat="1" ht="30.6" customHeight="1" x14ac:dyDescent="0.3">
      <c r="A76" s="30"/>
      <c r="B76" s="434" t="s">
        <v>91</v>
      </c>
      <c r="C76" s="421">
        <f>SUM(C4:C75)</f>
        <v>128</v>
      </c>
      <c r="D76" s="418">
        <f t="shared" ref="D76:I76" si="9">SUM(D4:D75)</f>
        <v>4028</v>
      </c>
      <c r="E76" s="419">
        <f t="shared" si="9"/>
        <v>862</v>
      </c>
      <c r="F76" s="32">
        <f t="shared" si="9"/>
        <v>834</v>
      </c>
      <c r="G76" s="428">
        <f t="shared" si="9"/>
        <v>750</v>
      </c>
      <c r="H76" s="409">
        <f t="shared" si="9"/>
        <v>2316288</v>
      </c>
      <c r="I76" s="409">
        <f t="shared" si="9"/>
        <v>21720000</v>
      </c>
      <c r="J76" s="409">
        <f>H76+I76</f>
        <v>24036288</v>
      </c>
    </row>
    <row r="79" spans="1:10" x14ac:dyDescent="0.25">
      <c r="G79" s="37"/>
      <c r="H79" s="36"/>
    </row>
    <row r="84" spans="9:9" x14ac:dyDescent="0.25">
      <c r="I84" s="431"/>
    </row>
  </sheetData>
  <autoFilter ref="A3:I76" xr:uid="{00000000-0009-0000-0000-000003000000}"/>
  <printOptions verticalCentered="1"/>
  <pageMargins left="0.70866141732283472" right="0.70866141732283472" top="0" bottom="0" header="0.31496062992125984" footer="0.31496062992125984"/>
  <pageSetup paperSize="9" scale="6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2"/>
  <sheetViews>
    <sheetView topLeftCell="A58" workbookViewId="0">
      <selection activeCell="B44" sqref="A44:XFD44"/>
    </sheetView>
  </sheetViews>
  <sheetFormatPr defaultColWidth="8.88671875" defaultRowHeight="14.4" x14ac:dyDescent="0.3"/>
  <cols>
    <col min="1" max="1" width="17.33203125" style="39" customWidth="1"/>
    <col min="2" max="2" width="9" style="40" bestFit="1" customWidth="1"/>
    <col min="3" max="3" width="11.88671875" style="41" hidden="1" customWidth="1"/>
    <col min="4" max="4" width="11.33203125" style="41" hidden="1" customWidth="1"/>
    <col min="5" max="5" width="10.6640625" style="41" customWidth="1"/>
    <col min="6" max="6" width="10.6640625" style="42" customWidth="1"/>
    <col min="7" max="7" width="11.6640625" style="41" customWidth="1"/>
    <col min="8" max="8" width="8.88671875" style="41"/>
    <col min="9" max="9" width="13.33203125" style="41" customWidth="1"/>
    <col min="10" max="10" width="11.33203125" style="41" customWidth="1"/>
    <col min="11" max="11" width="15.33203125" style="41" customWidth="1"/>
    <col min="12" max="12" width="8.88671875" style="43"/>
    <col min="13" max="16384" width="8.88671875" style="41"/>
  </cols>
  <sheetData>
    <row r="1" spans="1:12" x14ac:dyDescent="0.3">
      <c r="D1" s="41">
        <v>1450</v>
      </c>
    </row>
    <row r="2" spans="1:12" s="45" customFormat="1" ht="29.4" customHeight="1" x14ac:dyDescent="0.3">
      <c r="A2" s="586" t="s">
        <v>109</v>
      </c>
      <c r="B2" s="587"/>
      <c r="C2" s="587"/>
      <c r="D2" s="587"/>
      <c r="E2" s="587"/>
      <c r="F2" s="44"/>
      <c r="H2" s="588" t="s">
        <v>110</v>
      </c>
      <c r="I2" s="589"/>
      <c r="J2" s="589"/>
      <c r="L2" s="46"/>
    </row>
    <row r="3" spans="1:12" ht="15" thickBot="1" x14ac:dyDescent="0.35">
      <c r="I3" s="41">
        <v>212</v>
      </c>
      <c r="J3" s="41">
        <v>213</v>
      </c>
    </row>
    <row r="4" spans="1:12" ht="44.4" customHeight="1" thickBot="1" x14ac:dyDescent="0.35">
      <c r="A4" s="47" t="s">
        <v>111</v>
      </c>
      <c r="B4" s="48" t="s">
        <v>112</v>
      </c>
      <c r="C4" s="49"/>
      <c r="D4" s="50">
        <v>1532</v>
      </c>
      <c r="E4" s="51">
        <v>1550</v>
      </c>
      <c r="F4" s="52"/>
      <c r="G4" s="53" t="s">
        <v>113</v>
      </c>
      <c r="H4" s="53" t="s">
        <v>112</v>
      </c>
      <c r="I4" s="54"/>
      <c r="J4" s="55">
        <v>0.30199999999999999</v>
      </c>
      <c r="K4" s="54" t="s">
        <v>114</v>
      </c>
      <c r="L4" s="56" t="s">
        <v>115</v>
      </c>
    </row>
    <row r="5" spans="1:12" x14ac:dyDescent="0.3">
      <c r="A5" s="57">
        <v>13</v>
      </c>
      <c r="B5" s="58">
        <v>2</v>
      </c>
      <c r="C5" s="59">
        <f t="shared" ref="C5:C68" si="0">B5*$D$4*12</f>
        <v>36768</v>
      </c>
      <c r="D5" s="60">
        <f>ROUNDUP(C5,-2)</f>
        <v>36800</v>
      </c>
      <c r="E5" s="61">
        <f>B5*$E$4*12</f>
        <v>37200</v>
      </c>
      <c r="F5" s="52"/>
      <c r="G5" s="54">
        <v>4</v>
      </c>
      <c r="H5" s="60">
        <v>4</v>
      </c>
      <c r="I5" s="62">
        <f>H5*$E$4*12</f>
        <v>74400</v>
      </c>
      <c r="J5" s="63">
        <f>ROUND(I5*$J$4,2)</f>
        <v>22468.799999999999</v>
      </c>
      <c r="K5" s="63">
        <f>I5+J5</f>
        <v>96868.800000000003</v>
      </c>
      <c r="L5" s="56">
        <f>IF(K5&gt;=-99,IF(K5&gt;0,ROUNDUP(K5/1000,1),0),ROUNDDOWN(K5/1000,1))*1000</f>
        <v>96899.999999999985</v>
      </c>
    </row>
    <row r="6" spans="1:12" x14ac:dyDescent="0.3">
      <c r="A6" s="64">
        <v>14</v>
      </c>
      <c r="B6" s="65">
        <v>1</v>
      </c>
      <c r="C6" s="66">
        <f t="shared" si="0"/>
        <v>18384</v>
      </c>
      <c r="D6" s="67">
        <f>ROUNDUP(C6,-2)</f>
        <v>18400</v>
      </c>
      <c r="E6" s="68">
        <f t="shared" ref="E6:E69" si="1">B6*$E$4*12</f>
        <v>18600</v>
      </c>
      <c r="F6" s="52"/>
      <c r="G6" s="54">
        <v>0</v>
      </c>
      <c r="H6" s="67"/>
      <c r="I6" s="62">
        <f t="shared" ref="I6:I69" si="2">H6*$E$4*12</f>
        <v>0</v>
      </c>
      <c r="J6" s="63">
        <f t="shared" ref="J6:J69" si="3">ROUND(I6*$J$4,2)</f>
        <v>0</v>
      </c>
      <c r="K6" s="63">
        <f t="shared" ref="K6:K69" si="4">I6+J6</f>
        <v>0</v>
      </c>
      <c r="L6" s="56">
        <f t="shared" ref="L6:L69" si="5">IF(K6&gt;=-99,IF(K6&gt;0,ROUNDUP(K6/1000,1),0),ROUNDDOWN(K6/1000,1))*1000</f>
        <v>0</v>
      </c>
    </row>
    <row r="7" spans="1:12" x14ac:dyDescent="0.3">
      <c r="A7" s="64">
        <v>17</v>
      </c>
      <c r="B7" s="65">
        <v>5</v>
      </c>
      <c r="C7" s="66">
        <f t="shared" si="0"/>
        <v>91920</v>
      </c>
      <c r="D7" s="67">
        <f>ROUNDUP(C7,-2)</f>
        <v>92000</v>
      </c>
      <c r="E7" s="68">
        <f t="shared" si="1"/>
        <v>93000</v>
      </c>
      <c r="F7" s="52"/>
      <c r="G7" s="54">
        <v>7</v>
      </c>
      <c r="H7" s="67">
        <v>6</v>
      </c>
      <c r="I7" s="62">
        <f t="shared" si="2"/>
        <v>111600</v>
      </c>
      <c r="J7" s="63">
        <f t="shared" si="3"/>
        <v>33703.199999999997</v>
      </c>
      <c r="K7" s="63">
        <f t="shared" si="4"/>
        <v>145303.20000000001</v>
      </c>
      <c r="L7" s="56">
        <f t="shared" si="5"/>
        <v>145400</v>
      </c>
    </row>
    <row r="8" spans="1:12" x14ac:dyDescent="0.3">
      <c r="A8" s="64">
        <v>20</v>
      </c>
      <c r="B8" s="65">
        <v>4</v>
      </c>
      <c r="C8" s="66">
        <f t="shared" si="0"/>
        <v>73536</v>
      </c>
      <c r="D8" s="67">
        <f>ROUNDUP(C8,-2)</f>
        <v>73600</v>
      </c>
      <c r="E8" s="68">
        <f t="shared" si="1"/>
        <v>74400</v>
      </c>
      <c r="F8" s="52"/>
      <c r="G8" s="54">
        <v>4</v>
      </c>
      <c r="H8" s="67">
        <v>4</v>
      </c>
      <c r="I8" s="62">
        <f t="shared" si="2"/>
        <v>74400</v>
      </c>
      <c r="J8" s="63">
        <f t="shared" si="3"/>
        <v>22468.799999999999</v>
      </c>
      <c r="K8" s="63">
        <f t="shared" si="4"/>
        <v>96868.800000000003</v>
      </c>
      <c r="L8" s="56">
        <f t="shared" si="5"/>
        <v>96899.999999999985</v>
      </c>
    </row>
    <row r="9" spans="1:12" x14ac:dyDescent="0.3">
      <c r="A9" s="64">
        <v>23</v>
      </c>
      <c r="B9" s="65">
        <v>4</v>
      </c>
      <c r="C9" s="66">
        <f t="shared" si="0"/>
        <v>73536</v>
      </c>
      <c r="D9" s="67">
        <f t="shared" ref="D9:D72" si="6">ROUNDUP(C9,-2)</f>
        <v>73600</v>
      </c>
      <c r="E9" s="68">
        <f t="shared" si="1"/>
        <v>74400</v>
      </c>
      <c r="F9" s="52"/>
      <c r="G9" s="54">
        <v>2</v>
      </c>
      <c r="H9" s="67">
        <v>3</v>
      </c>
      <c r="I9" s="62">
        <f t="shared" si="2"/>
        <v>55800</v>
      </c>
      <c r="J9" s="63">
        <f t="shared" si="3"/>
        <v>16851.599999999999</v>
      </c>
      <c r="K9" s="63">
        <f t="shared" si="4"/>
        <v>72651.600000000006</v>
      </c>
      <c r="L9" s="56">
        <f t="shared" si="5"/>
        <v>72699.999999999985</v>
      </c>
    </row>
    <row r="10" spans="1:12" x14ac:dyDescent="0.3">
      <c r="A10" s="64">
        <v>26</v>
      </c>
      <c r="B10" s="65">
        <v>4</v>
      </c>
      <c r="C10" s="66">
        <f t="shared" si="0"/>
        <v>73536</v>
      </c>
      <c r="D10" s="67">
        <f t="shared" si="6"/>
        <v>73600</v>
      </c>
      <c r="E10" s="68">
        <f t="shared" si="1"/>
        <v>74400</v>
      </c>
      <c r="F10" s="52"/>
      <c r="G10" s="54">
        <v>2</v>
      </c>
      <c r="H10" s="67">
        <v>1</v>
      </c>
      <c r="I10" s="62">
        <f t="shared" si="2"/>
        <v>18600</v>
      </c>
      <c r="J10" s="63">
        <f t="shared" si="3"/>
        <v>5617.2</v>
      </c>
      <c r="K10" s="63">
        <f t="shared" si="4"/>
        <v>24217.200000000001</v>
      </c>
      <c r="L10" s="56">
        <f t="shared" si="5"/>
        <v>24300</v>
      </c>
    </row>
    <row r="11" spans="1:12" x14ac:dyDescent="0.3">
      <c r="A11" s="64">
        <v>34</v>
      </c>
      <c r="B11" s="65">
        <v>2</v>
      </c>
      <c r="C11" s="66">
        <f t="shared" si="0"/>
        <v>36768</v>
      </c>
      <c r="D11" s="67">
        <f t="shared" si="6"/>
        <v>36800</v>
      </c>
      <c r="E11" s="68">
        <f t="shared" si="1"/>
        <v>37200</v>
      </c>
      <c r="F11" s="52"/>
      <c r="G11" s="54">
        <v>2</v>
      </c>
      <c r="H11" s="67">
        <v>2</v>
      </c>
      <c r="I11" s="62">
        <f t="shared" si="2"/>
        <v>37200</v>
      </c>
      <c r="J11" s="63">
        <f t="shared" si="3"/>
        <v>11234.4</v>
      </c>
      <c r="K11" s="63">
        <f t="shared" si="4"/>
        <v>48434.400000000001</v>
      </c>
      <c r="L11" s="56">
        <f t="shared" si="5"/>
        <v>48500</v>
      </c>
    </row>
    <row r="12" spans="1:12" x14ac:dyDescent="0.3">
      <c r="A12" s="64">
        <v>39</v>
      </c>
      <c r="B12" s="65">
        <v>4</v>
      </c>
      <c r="C12" s="66">
        <f t="shared" si="0"/>
        <v>73536</v>
      </c>
      <c r="D12" s="67">
        <f t="shared" si="6"/>
        <v>73600</v>
      </c>
      <c r="E12" s="68">
        <f t="shared" si="1"/>
        <v>74400</v>
      </c>
      <c r="F12" s="52"/>
      <c r="G12" s="54">
        <v>2</v>
      </c>
      <c r="H12" s="67">
        <v>4</v>
      </c>
      <c r="I12" s="62">
        <f t="shared" si="2"/>
        <v>74400</v>
      </c>
      <c r="J12" s="63">
        <f t="shared" si="3"/>
        <v>22468.799999999999</v>
      </c>
      <c r="K12" s="63">
        <f t="shared" si="4"/>
        <v>96868.800000000003</v>
      </c>
      <c r="L12" s="56">
        <f t="shared" si="5"/>
        <v>96899.999999999985</v>
      </c>
    </row>
    <row r="13" spans="1:12" x14ac:dyDescent="0.3">
      <c r="A13" s="64">
        <v>268</v>
      </c>
      <c r="B13" s="65">
        <v>2</v>
      </c>
      <c r="C13" s="66">
        <f t="shared" si="0"/>
        <v>36768</v>
      </c>
      <c r="D13" s="67">
        <f t="shared" si="6"/>
        <v>36800</v>
      </c>
      <c r="E13" s="68">
        <f t="shared" si="1"/>
        <v>37200</v>
      </c>
      <c r="F13" s="52"/>
      <c r="G13" s="54">
        <v>1</v>
      </c>
      <c r="H13" s="67">
        <v>1</v>
      </c>
      <c r="I13" s="62">
        <f t="shared" si="2"/>
        <v>18600</v>
      </c>
      <c r="J13" s="63">
        <f t="shared" si="3"/>
        <v>5617.2</v>
      </c>
      <c r="K13" s="63">
        <f t="shared" si="4"/>
        <v>24217.200000000001</v>
      </c>
      <c r="L13" s="56">
        <f t="shared" si="5"/>
        <v>24300</v>
      </c>
    </row>
    <row r="14" spans="1:12" x14ac:dyDescent="0.3">
      <c r="A14" s="64">
        <v>323</v>
      </c>
      <c r="B14" s="65">
        <v>2</v>
      </c>
      <c r="C14" s="66">
        <f t="shared" si="0"/>
        <v>36768</v>
      </c>
      <c r="D14" s="67">
        <f t="shared" si="6"/>
        <v>36800</v>
      </c>
      <c r="E14" s="68">
        <f t="shared" si="1"/>
        <v>37200</v>
      </c>
      <c r="F14" s="52"/>
      <c r="G14" s="54">
        <v>2</v>
      </c>
      <c r="H14" s="67">
        <v>3</v>
      </c>
      <c r="I14" s="62">
        <f t="shared" si="2"/>
        <v>55800</v>
      </c>
      <c r="J14" s="63">
        <f t="shared" si="3"/>
        <v>16851.599999999999</v>
      </c>
      <c r="K14" s="63">
        <f t="shared" si="4"/>
        <v>72651.600000000006</v>
      </c>
      <c r="L14" s="56">
        <f t="shared" si="5"/>
        <v>72699.999999999985</v>
      </c>
    </row>
    <row r="15" spans="1:12" x14ac:dyDescent="0.3">
      <c r="A15" s="64">
        <v>326</v>
      </c>
      <c r="B15" s="65">
        <v>0</v>
      </c>
      <c r="C15" s="66">
        <f t="shared" si="0"/>
        <v>0</v>
      </c>
      <c r="D15" s="67">
        <f t="shared" si="6"/>
        <v>0</v>
      </c>
      <c r="E15" s="68">
        <f t="shared" si="1"/>
        <v>0</v>
      </c>
      <c r="F15" s="52"/>
      <c r="G15" s="54">
        <v>0</v>
      </c>
      <c r="H15" s="67"/>
      <c r="I15" s="62">
        <f t="shared" si="2"/>
        <v>0</v>
      </c>
      <c r="J15" s="63">
        <f t="shared" si="3"/>
        <v>0</v>
      </c>
      <c r="K15" s="63">
        <f t="shared" si="4"/>
        <v>0</v>
      </c>
      <c r="L15" s="56">
        <f t="shared" si="5"/>
        <v>0</v>
      </c>
    </row>
    <row r="16" spans="1:12" x14ac:dyDescent="0.3">
      <c r="A16" s="64">
        <v>327</v>
      </c>
      <c r="B16" s="65">
        <v>1</v>
      </c>
      <c r="C16" s="66">
        <f t="shared" si="0"/>
        <v>18384</v>
      </c>
      <c r="D16" s="67">
        <f t="shared" si="6"/>
        <v>18400</v>
      </c>
      <c r="E16" s="68">
        <f t="shared" si="1"/>
        <v>18600</v>
      </c>
      <c r="F16" s="52"/>
      <c r="G16" s="54">
        <v>3</v>
      </c>
      <c r="H16" s="67">
        <v>3</v>
      </c>
      <c r="I16" s="62">
        <f t="shared" si="2"/>
        <v>55800</v>
      </c>
      <c r="J16" s="63">
        <f t="shared" si="3"/>
        <v>16851.599999999999</v>
      </c>
      <c r="K16" s="63">
        <f t="shared" si="4"/>
        <v>72651.600000000006</v>
      </c>
      <c r="L16" s="56">
        <f t="shared" si="5"/>
        <v>72699.999999999985</v>
      </c>
    </row>
    <row r="17" spans="1:12" x14ac:dyDescent="0.3">
      <c r="A17" s="64">
        <v>328</v>
      </c>
      <c r="B17" s="65">
        <v>1</v>
      </c>
      <c r="C17" s="66">
        <f t="shared" si="0"/>
        <v>18384</v>
      </c>
      <c r="D17" s="67">
        <f t="shared" si="6"/>
        <v>18400</v>
      </c>
      <c r="E17" s="68">
        <f t="shared" si="1"/>
        <v>18600</v>
      </c>
      <c r="F17" s="52"/>
      <c r="G17" s="54">
        <v>1</v>
      </c>
      <c r="H17" s="67">
        <v>1</v>
      </c>
      <c r="I17" s="62">
        <f t="shared" si="2"/>
        <v>18600</v>
      </c>
      <c r="J17" s="63">
        <f t="shared" si="3"/>
        <v>5617.2</v>
      </c>
      <c r="K17" s="63">
        <f t="shared" si="4"/>
        <v>24217.200000000001</v>
      </c>
      <c r="L17" s="56">
        <f t="shared" si="5"/>
        <v>24300</v>
      </c>
    </row>
    <row r="18" spans="1:12" x14ac:dyDescent="0.3">
      <c r="A18" s="64">
        <v>329</v>
      </c>
      <c r="B18" s="65">
        <v>1</v>
      </c>
      <c r="C18" s="66">
        <f t="shared" si="0"/>
        <v>18384</v>
      </c>
      <c r="D18" s="67">
        <f t="shared" si="6"/>
        <v>18400</v>
      </c>
      <c r="E18" s="68">
        <f t="shared" si="1"/>
        <v>18600</v>
      </c>
      <c r="F18" s="52"/>
      <c r="G18" s="54">
        <v>0</v>
      </c>
      <c r="H18" s="67">
        <v>1</v>
      </c>
      <c r="I18" s="62">
        <f t="shared" si="2"/>
        <v>18600</v>
      </c>
      <c r="J18" s="63">
        <f t="shared" si="3"/>
        <v>5617.2</v>
      </c>
      <c r="K18" s="63">
        <f t="shared" si="4"/>
        <v>24217.200000000001</v>
      </c>
      <c r="L18" s="56">
        <f t="shared" si="5"/>
        <v>24300</v>
      </c>
    </row>
    <row r="19" spans="1:12" x14ac:dyDescent="0.3">
      <c r="A19" s="64">
        <v>330</v>
      </c>
      <c r="B19" s="65">
        <v>1</v>
      </c>
      <c r="C19" s="66">
        <f t="shared" si="0"/>
        <v>18384</v>
      </c>
      <c r="D19" s="67">
        <f t="shared" si="6"/>
        <v>18400</v>
      </c>
      <c r="E19" s="68">
        <f t="shared" si="1"/>
        <v>18600</v>
      </c>
      <c r="F19" s="52"/>
      <c r="G19" s="54">
        <v>2</v>
      </c>
      <c r="H19" s="67">
        <v>2</v>
      </c>
      <c r="I19" s="62">
        <f t="shared" si="2"/>
        <v>37200</v>
      </c>
      <c r="J19" s="63">
        <f t="shared" si="3"/>
        <v>11234.4</v>
      </c>
      <c r="K19" s="63">
        <f t="shared" si="4"/>
        <v>48434.400000000001</v>
      </c>
      <c r="L19" s="56">
        <f t="shared" si="5"/>
        <v>48500</v>
      </c>
    </row>
    <row r="20" spans="1:12" x14ac:dyDescent="0.3">
      <c r="A20" s="64">
        <v>331</v>
      </c>
      <c r="B20" s="65">
        <v>1</v>
      </c>
      <c r="C20" s="66">
        <f t="shared" si="0"/>
        <v>18384</v>
      </c>
      <c r="D20" s="67">
        <f t="shared" si="6"/>
        <v>18400</v>
      </c>
      <c r="E20" s="68">
        <f t="shared" si="1"/>
        <v>18600</v>
      </c>
      <c r="F20" s="52"/>
      <c r="G20" s="54">
        <v>1</v>
      </c>
      <c r="H20" s="67">
        <v>1</v>
      </c>
      <c r="I20" s="62">
        <f t="shared" si="2"/>
        <v>18600</v>
      </c>
      <c r="J20" s="63">
        <f t="shared" si="3"/>
        <v>5617.2</v>
      </c>
      <c r="K20" s="63">
        <f t="shared" si="4"/>
        <v>24217.200000000001</v>
      </c>
      <c r="L20" s="56">
        <f t="shared" si="5"/>
        <v>24300</v>
      </c>
    </row>
    <row r="21" spans="1:12" x14ac:dyDescent="0.3">
      <c r="A21" s="64">
        <v>332</v>
      </c>
      <c r="B21" s="65">
        <v>0</v>
      </c>
      <c r="C21" s="66">
        <f t="shared" si="0"/>
        <v>0</v>
      </c>
      <c r="D21" s="67">
        <f t="shared" si="6"/>
        <v>0</v>
      </c>
      <c r="E21" s="68">
        <f t="shared" si="1"/>
        <v>0</v>
      </c>
      <c r="F21" s="52"/>
      <c r="G21" s="54">
        <v>0</v>
      </c>
      <c r="H21" s="67"/>
      <c r="I21" s="62">
        <f t="shared" si="2"/>
        <v>0</v>
      </c>
      <c r="J21" s="63">
        <f t="shared" si="3"/>
        <v>0</v>
      </c>
      <c r="K21" s="63">
        <f t="shared" si="4"/>
        <v>0</v>
      </c>
      <c r="L21" s="56">
        <f t="shared" si="5"/>
        <v>0</v>
      </c>
    </row>
    <row r="22" spans="1:12" x14ac:dyDescent="0.3">
      <c r="A22" s="64">
        <v>333</v>
      </c>
      <c r="B22" s="65">
        <v>0</v>
      </c>
      <c r="C22" s="66">
        <f t="shared" si="0"/>
        <v>0</v>
      </c>
      <c r="D22" s="67">
        <f t="shared" si="6"/>
        <v>0</v>
      </c>
      <c r="E22" s="68">
        <f t="shared" si="1"/>
        <v>0</v>
      </c>
      <c r="F22" s="52"/>
      <c r="G22" s="54">
        <v>0</v>
      </c>
      <c r="H22" s="67"/>
      <c r="I22" s="62">
        <f t="shared" si="2"/>
        <v>0</v>
      </c>
      <c r="J22" s="63">
        <f t="shared" si="3"/>
        <v>0</v>
      </c>
      <c r="K22" s="63">
        <f t="shared" si="4"/>
        <v>0</v>
      </c>
      <c r="L22" s="56">
        <f t="shared" si="5"/>
        <v>0</v>
      </c>
    </row>
    <row r="23" spans="1:12" x14ac:dyDescent="0.3">
      <c r="A23" s="64">
        <v>334</v>
      </c>
      <c r="B23" s="65">
        <v>2</v>
      </c>
      <c r="C23" s="66">
        <f t="shared" si="0"/>
        <v>36768</v>
      </c>
      <c r="D23" s="67">
        <f t="shared" si="6"/>
        <v>36800</v>
      </c>
      <c r="E23" s="68">
        <f t="shared" si="1"/>
        <v>37200</v>
      </c>
      <c r="F23" s="52"/>
      <c r="G23" s="54">
        <v>3</v>
      </c>
      <c r="H23" s="67">
        <v>3</v>
      </c>
      <c r="I23" s="62">
        <f t="shared" si="2"/>
        <v>55800</v>
      </c>
      <c r="J23" s="63">
        <f t="shared" si="3"/>
        <v>16851.599999999999</v>
      </c>
      <c r="K23" s="63">
        <f t="shared" si="4"/>
        <v>72651.600000000006</v>
      </c>
      <c r="L23" s="56">
        <f t="shared" si="5"/>
        <v>72699.999999999985</v>
      </c>
    </row>
    <row r="24" spans="1:12" x14ac:dyDescent="0.3">
      <c r="A24" s="64">
        <v>336</v>
      </c>
      <c r="B24" s="65">
        <v>4</v>
      </c>
      <c r="C24" s="66">
        <f t="shared" si="0"/>
        <v>73536</v>
      </c>
      <c r="D24" s="67">
        <f t="shared" si="6"/>
        <v>73600</v>
      </c>
      <c r="E24" s="68">
        <f t="shared" si="1"/>
        <v>74400</v>
      </c>
      <c r="F24" s="52"/>
      <c r="G24" s="54">
        <v>6</v>
      </c>
      <c r="H24" s="67">
        <v>4</v>
      </c>
      <c r="I24" s="62">
        <f t="shared" si="2"/>
        <v>74400</v>
      </c>
      <c r="J24" s="63">
        <f t="shared" si="3"/>
        <v>22468.799999999999</v>
      </c>
      <c r="K24" s="63">
        <f t="shared" si="4"/>
        <v>96868.800000000003</v>
      </c>
      <c r="L24" s="56">
        <f t="shared" si="5"/>
        <v>96899.999999999985</v>
      </c>
    </row>
    <row r="25" spans="1:12" x14ac:dyDescent="0.3">
      <c r="A25" s="64">
        <v>337</v>
      </c>
      <c r="B25" s="65">
        <v>2</v>
      </c>
      <c r="C25" s="66">
        <f t="shared" si="0"/>
        <v>36768</v>
      </c>
      <c r="D25" s="67">
        <f t="shared" si="6"/>
        <v>36800</v>
      </c>
      <c r="E25" s="68">
        <f t="shared" si="1"/>
        <v>37200</v>
      </c>
      <c r="F25" s="52"/>
      <c r="G25" s="54">
        <v>2</v>
      </c>
      <c r="H25" s="67">
        <v>2</v>
      </c>
      <c r="I25" s="62">
        <f t="shared" si="2"/>
        <v>37200</v>
      </c>
      <c r="J25" s="63">
        <f t="shared" si="3"/>
        <v>11234.4</v>
      </c>
      <c r="K25" s="63">
        <f t="shared" si="4"/>
        <v>48434.400000000001</v>
      </c>
      <c r="L25" s="56">
        <f t="shared" si="5"/>
        <v>48500</v>
      </c>
    </row>
    <row r="26" spans="1:12" x14ac:dyDescent="0.3">
      <c r="A26" s="64">
        <v>338</v>
      </c>
      <c r="B26" s="65">
        <v>4</v>
      </c>
      <c r="C26" s="66">
        <f t="shared" si="0"/>
        <v>73536</v>
      </c>
      <c r="D26" s="67">
        <f t="shared" si="6"/>
        <v>73600</v>
      </c>
      <c r="E26" s="68">
        <f t="shared" si="1"/>
        <v>74400</v>
      </c>
      <c r="F26" s="52"/>
      <c r="G26" s="54">
        <v>4</v>
      </c>
      <c r="H26" s="67">
        <v>5</v>
      </c>
      <c r="I26" s="62">
        <f t="shared" si="2"/>
        <v>93000</v>
      </c>
      <c r="J26" s="63">
        <f t="shared" si="3"/>
        <v>28086</v>
      </c>
      <c r="K26" s="63">
        <f t="shared" si="4"/>
        <v>121086</v>
      </c>
      <c r="L26" s="56">
        <f t="shared" si="5"/>
        <v>121100</v>
      </c>
    </row>
    <row r="27" spans="1:12" x14ac:dyDescent="0.3">
      <c r="A27" s="64">
        <v>339</v>
      </c>
      <c r="B27" s="65">
        <v>4</v>
      </c>
      <c r="C27" s="66">
        <f t="shared" si="0"/>
        <v>73536</v>
      </c>
      <c r="D27" s="67">
        <f t="shared" si="6"/>
        <v>73600</v>
      </c>
      <c r="E27" s="68">
        <f t="shared" si="1"/>
        <v>74400</v>
      </c>
      <c r="F27" s="52"/>
      <c r="G27" s="54">
        <v>3</v>
      </c>
      <c r="H27" s="67">
        <v>3</v>
      </c>
      <c r="I27" s="62">
        <f t="shared" si="2"/>
        <v>55800</v>
      </c>
      <c r="J27" s="63">
        <f t="shared" si="3"/>
        <v>16851.599999999999</v>
      </c>
      <c r="K27" s="63">
        <f t="shared" si="4"/>
        <v>72651.600000000006</v>
      </c>
      <c r="L27" s="56">
        <f t="shared" si="5"/>
        <v>72699.999999999985</v>
      </c>
    </row>
    <row r="28" spans="1:12" x14ac:dyDescent="0.3">
      <c r="A28" s="64">
        <v>340</v>
      </c>
      <c r="B28" s="65">
        <v>2</v>
      </c>
      <c r="C28" s="66">
        <f t="shared" si="0"/>
        <v>36768</v>
      </c>
      <c r="D28" s="67">
        <f t="shared" si="6"/>
        <v>36800</v>
      </c>
      <c r="E28" s="68">
        <f t="shared" si="1"/>
        <v>37200</v>
      </c>
      <c r="F28" s="52"/>
      <c r="G28" s="54">
        <v>0</v>
      </c>
      <c r="H28" s="67"/>
      <c r="I28" s="62">
        <f t="shared" si="2"/>
        <v>0</v>
      </c>
      <c r="J28" s="63">
        <f t="shared" si="3"/>
        <v>0</v>
      </c>
      <c r="K28" s="63">
        <f t="shared" si="4"/>
        <v>0</v>
      </c>
      <c r="L28" s="56">
        <f t="shared" si="5"/>
        <v>0</v>
      </c>
    </row>
    <row r="29" spans="1:12" x14ac:dyDescent="0.3">
      <c r="A29" s="64">
        <v>341</v>
      </c>
      <c r="B29" s="65">
        <v>3</v>
      </c>
      <c r="C29" s="66">
        <f t="shared" si="0"/>
        <v>55152</v>
      </c>
      <c r="D29" s="67">
        <f t="shared" si="6"/>
        <v>55200</v>
      </c>
      <c r="E29" s="68">
        <f t="shared" si="1"/>
        <v>55800</v>
      </c>
      <c r="F29" s="52"/>
      <c r="G29" s="54">
        <v>4</v>
      </c>
      <c r="H29" s="67">
        <v>3</v>
      </c>
      <c r="I29" s="62">
        <f t="shared" si="2"/>
        <v>55800</v>
      </c>
      <c r="J29" s="63">
        <f t="shared" si="3"/>
        <v>16851.599999999999</v>
      </c>
      <c r="K29" s="63">
        <f t="shared" si="4"/>
        <v>72651.600000000006</v>
      </c>
      <c r="L29" s="56">
        <f t="shared" si="5"/>
        <v>72699.999999999985</v>
      </c>
    </row>
    <row r="30" spans="1:12" x14ac:dyDescent="0.3">
      <c r="A30" s="64">
        <v>342</v>
      </c>
      <c r="B30" s="65">
        <v>0</v>
      </c>
      <c r="C30" s="66">
        <f t="shared" si="0"/>
        <v>0</v>
      </c>
      <c r="D30" s="67">
        <f t="shared" si="6"/>
        <v>0</v>
      </c>
      <c r="E30" s="68">
        <f t="shared" si="1"/>
        <v>0</v>
      </c>
      <c r="F30" s="52"/>
      <c r="G30" s="54">
        <v>0</v>
      </c>
      <c r="H30" s="67"/>
      <c r="I30" s="62">
        <f t="shared" si="2"/>
        <v>0</v>
      </c>
      <c r="J30" s="63">
        <f t="shared" si="3"/>
        <v>0</v>
      </c>
      <c r="K30" s="63">
        <f t="shared" si="4"/>
        <v>0</v>
      </c>
      <c r="L30" s="56">
        <f t="shared" si="5"/>
        <v>0</v>
      </c>
    </row>
    <row r="31" spans="1:12" x14ac:dyDescent="0.3">
      <c r="A31" s="64">
        <v>343</v>
      </c>
      <c r="B31" s="65">
        <v>0</v>
      </c>
      <c r="C31" s="66">
        <f t="shared" si="0"/>
        <v>0</v>
      </c>
      <c r="D31" s="67">
        <f t="shared" si="6"/>
        <v>0</v>
      </c>
      <c r="E31" s="68">
        <f t="shared" si="1"/>
        <v>0</v>
      </c>
      <c r="F31" s="52"/>
      <c r="G31" s="54">
        <v>0</v>
      </c>
      <c r="H31" s="67"/>
      <c r="I31" s="62">
        <f t="shared" si="2"/>
        <v>0</v>
      </c>
      <c r="J31" s="63">
        <f t="shared" si="3"/>
        <v>0</v>
      </c>
      <c r="K31" s="63">
        <f t="shared" si="4"/>
        <v>0</v>
      </c>
      <c r="L31" s="56">
        <f t="shared" si="5"/>
        <v>0</v>
      </c>
    </row>
    <row r="32" spans="1:12" x14ac:dyDescent="0.3">
      <c r="A32" s="64">
        <v>344</v>
      </c>
      <c r="B32" s="65">
        <v>2</v>
      </c>
      <c r="C32" s="66">
        <f t="shared" si="0"/>
        <v>36768</v>
      </c>
      <c r="D32" s="67">
        <f t="shared" si="6"/>
        <v>36800</v>
      </c>
      <c r="E32" s="68">
        <f t="shared" si="1"/>
        <v>37200</v>
      </c>
      <c r="F32" s="52"/>
      <c r="G32" s="54">
        <v>4</v>
      </c>
      <c r="H32" s="67">
        <v>4</v>
      </c>
      <c r="I32" s="62">
        <f t="shared" si="2"/>
        <v>74400</v>
      </c>
      <c r="J32" s="63">
        <f t="shared" si="3"/>
        <v>22468.799999999999</v>
      </c>
      <c r="K32" s="63">
        <f t="shared" si="4"/>
        <v>96868.800000000003</v>
      </c>
      <c r="L32" s="56">
        <f t="shared" si="5"/>
        <v>96899.999999999985</v>
      </c>
    </row>
    <row r="33" spans="1:12" x14ac:dyDescent="0.3">
      <c r="A33" s="64">
        <v>345</v>
      </c>
      <c r="B33" s="65">
        <v>1</v>
      </c>
      <c r="C33" s="66">
        <f t="shared" si="0"/>
        <v>18384</v>
      </c>
      <c r="D33" s="67">
        <f t="shared" si="6"/>
        <v>18400</v>
      </c>
      <c r="E33" s="68">
        <f t="shared" si="1"/>
        <v>18600</v>
      </c>
      <c r="F33" s="52"/>
      <c r="G33" s="54">
        <v>2</v>
      </c>
      <c r="H33" s="67">
        <v>1</v>
      </c>
      <c r="I33" s="62">
        <f t="shared" si="2"/>
        <v>18600</v>
      </c>
      <c r="J33" s="63">
        <f t="shared" si="3"/>
        <v>5617.2</v>
      </c>
      <c r="K33" s="63">
        <f t="shared" si="4"/>
        <v>24217.200000000001</v>
      </c>
      <c r="L33" s="56">
        <f t="shared" si="5"/>
        <v>24300</v>
      </c>
    </row>
    <row r="34" spans="1:12" x14ac:dyDescent="0.3">
      <c r="A34" s="64">
        <v>346</v>
      </c>
      <c r="B34" s="65">
        <v>1</v>
      </c>
      <c r="C34" s="66">
        <f t="shared" si="0"/>
        <v>18384</v>
      </c>
      <c r="D34" s="67">
        <f t="shared" si="6"/>
        <v>18400</v>
      </c>
      <c r="E34" s="68">
        <f t="shared" si="1"/>
        <v>18600</v>
      </c>
      <c r="F34" s="52"/>
      <c r="G34" s="54">
        <v>0</v>
      </c>
      <c r="H34" s="67">
        <v>2</v>
      </c>
      <c r="I34" s="62">
        <f t="shared" si="2"/>
        <v>37200</v>
      </c>
      <c r="J34" s="63">
        <f t="shared" si="3"/>
        <v>11234.4</v>
      </c>
      <c r="K34" s="63">
        <f t="shared" si="4"/>
        <v>48434.400000000001</v>
      </c>
      <c r="L34" s="56">
        <f t="shared" si="5"/>
        <v>48500</v>
      </c>
    </row>
    <row r="35" spans="1:12" x14ac:dyDescent="0.3">
      <c r="A35" s="64">
        <v>347</v>
      </c>
      <c r="B35" s="65">
        <v>1</v>
      </c>
      <c r="C35" s="66">
        <f t="shared" si="0"/>
        <v>18384</v>
      </c>
      <c r="D35" s="67">
        <f t="shared" si="6"/>
        <v>18400</v>
      </c>
      <c r="E35" s="68">
        <f t="shared" si="1"/>
        <v>18600</v>
      </c>
      <c r="F35" s="52"/>
      <c r="G35" s="54">
        <v>0</v>
      </c>
      <c r="H35" s="67">
        <v>0</v>
      </c>
      <c r="I35" s="62">
        <f t="shared" si="2"/>
        <v>0</v>
      </c>
      <c r="J35" s="63">
        <f t="shared" si="3"/>
        <v>0</v>
      </c>
      <c r="K35" s="63">
        <f t="shared" si="4"/>
        <v>0</v>
      </c>
      <c r="L35" s="56">
        <f t="shared" si="5"/>
        <v>0</v>
      </c>
    </row>
    <row r="36" spans="1:12" x14ac:dyDescent="0.3">
      <c r="A36" s="64">
        <v>348</v>
      </c>
      <c r="B36" s="65">
        <v>3</v>
      </c>
      <c r="C36" s="66">
        <f t="shared" si="0"/>
        <v>55152</v>
      </c>
      <c r="D36" s="67">
        <f t="shared" si="6"/>
        <v>55200</v>
      </c>
      <c r="E36" s="68">
        <f t="shared" si="1"/>
        <v>55800</v>
      </c>
      <c r="F36" s="52"/>
      <c r="G36" s="54">
        <v>3</v>
      </c>
      <c r="H36" s="67">
        <v>3</v>
      </c>
      <c r="I36" s="62">
        <f t="shared" si="2"/>
        <v>55800</v>
      </c>
      <c r="J36" s="63">
        <f t="shared" si="3"/>
        <v>16851.599999999999</v>
      </c>
      <c r="K36" s="63">
        <f t="shared" si="4"/>
        <v>72651.600000000006</v>
      </c>
      <c r="L36" s="56">
        <f t="shared" si="5"/>
        <v>72699.999999999985</v>
      </c>
    </row>
    <row r="37" spans="1:12" x14ac:dyDescent="0.3">
      <c r="A37" s="64">
        <v>350</v>
      </c>
      <c r="B37" s="65">
        <v>0</v>
      </c>
      <c r="C37" s="66">
        <f t="shared" si="0"/>
        <v>0</v>
      </c>
      <c r="D37" s="67">
        <f t="shared" si="6"/>
        <v>0</v>
      </c>
      <c r="E37" s="68">
        <f t="shared" si="1"/>
        <v>0</v>
      </c>
      <c r="F37" s="52"/>
      <c r="G37" s="54">
        <v>1</v>
      </c>
      <c r="H37" s="67">
        <v>1</v>
      </c>
      <c r="I37" s="62">
        <f t="shared" si="2"/>
        <v>18600</v>
      </c>
      <c r="J37" s="63">
        <f t="shared" si="3"/>
        <v>5617.2</v>
      </c>
      <c r="K37" s="63">
        <f t="shared" si="4"/>
        <v>24217.200000000001</v>
      </c>
      <c r="L37" s="56">
        <f t="shared" si="5"/>
        <v>24300</v>
      </c>
    </row>
    <row r="38" spans="1:12" x14ac:dyDescent="0.3">
      <c r="A38" s="64">
        <v>458</v>
      </c>
      <c r="B38" s="65">
        <v>0</v>
      </c>
      <c r="C38" s="66">
        <f t="shared" si="0"/>
        <v>0</v>
      </c>
      <c r="D38" s="67">
        <f t="shared" si="6"/>
        <v>0</v>
      </c>
      <c r="E38" s="68">
        <f t="shared" si="1"/>
        <v>0</v>
      </c>
      <c r="F38" s="52"/>
      <c r="G38" s="54">
        <v>2</v>
      </c>
      <c r="H38" s="67">
        <v>2</v>
      </c>
      <c r="I38" s="62">
        <f t="shared" si="2"/>
        <v>37200</v>
      </c>
      <c r="J38" s="63">
        <f t="shared" si="3"/>
        <v>11234.4</v>
      </c>
      <c r="K38" s="63">
        <f t="shared" si="4"/>
        <v>48434.400000000001</v>
      </c>
      <c r="L38" s="56">
        <f t="shared" si="5"/>
        <v>48500</v>
      </c>
    </row>
    <row r="39" spans="1:12" x14ac:dyDescent="0.3">
      <c r="A39" s="64">
        <v>497</v>
      </c>
      <c r="B39" s="65">
        <v>0</v>
      </c>
      <c r="C39" s="66">
        <f t="shared" si="0"/>
        <v>0</v>
      </c>
      <c r="D39" s="67">
        <f t="shared" si="6"/>
        <v>0</v>
      </c>
      <c r="E39" s="68">
        <f t="shared" si="1"/>
        <v>0</v>
      </c>
      <c r="F39" s="52"/>
      <c r="G39" s="54">
        <v>2</v>
      </c>
      <c r="H39" s="67">
        <v>2</v>
      </c>
      <c r="I39" s="62">
        <f t="shared" si="2"/>
        <v>37200</v>
      </c>
      <c r="J39" s="63">
        <f t="shared" si="3"/>
        <v>11234.4</v>
      </c>
      <c r="K39" s="63">
        <f t="shared" si="4"/>
        <v>48434.400000000001</v>
      </c>
      <c r="L39" s="56">
        <f t="shared" si="5"/>
        <v>48500</v>
      </c>
    </row>
    <row r="40" spans="1:12" x14ac:dyDescent="0.3">
      <c r="A40" s="64">
        <v>498</v>
      </c>
      <c r="B40" s="65">
        <v>4</v>
      </c>
      <c r="C40" s="66">
        <f t="shared" si="0"/>
        <v>73536</v>
      </c>
      <c r="D40" s="67">
        <f t="shared" si="6"/>
        <v>73600</v>
      </c>
      <c r="E40" s="68">
        <f t="shared" si="1"/>
        <v>74400</v>
      </c>
      <c r="F40" s="52"/>
      <c r="G40" s="54">
        <v>1</v>
      </c>
      <c r="H40" s="67">
        <v>2</v>
      </c>
      <c r="I40" s="62">
        <f t="shared" si="2"/>
        <v>37200</v>
      </c>
      <c r="J40" s="63">
        <f t="shared" si="3"/>
        <v>11234.4</v>
      </c>
      <c r="K40" s="63">
        <f t="shared" si="4"/>
        <v>48434.400000000001</v>
      </c>
      <c r="L40" s="56">
        <f t="shared" si="5"/>
        <v>48500</v>
      </c>
    </row>
    <row r="41" spans="1:12" x14ac:dyDescent="0.3">
      <c r="A41" s="64">
        <v>512</v>
      </c>
      <c r="B41" s="65">
        <v>1</v>
      </c>
      <c r="C41" s="66">
        <f t="shared" si="0"/>
        <v>18384</v>
      </c>
      <c r="D41" s="67">
        <f t="shared" si="6"/>
        <v>18400</v>
      </c>
      <c r="E41" s="68">
        <f t="shared" si="1"/>
        <v>18600</v>
      </c>
      <c r="F41" s="52"/>
      <c r="G41" s="54">
        <v>1</v>
      </c>
      <c r="H41" s="67">
        <v>1</v>
      </c>
      <c r="I41" s="62">
        <f t="shared" si="2"/>
        <v>18600</v>
      </c>
      <c r="J41" s="63">
        <f t="shared" si="3"/>
        <v>5617.2</v>
      </c>
      <c r="K41" s="63">
        <f t="shared" si="4"/>
        <v>24217.200000000001</v>
      </c>
      <c r="L41" s="56">
        <f t="shared" si="5"/>
        <v>24300</v>
      </c>
    </row>
    <row r="42" spans="1:12" x14ac:dyDescent="0.3">
      <c r="A42" s="64">
        <v>513</v>
      </c>
      <c r="B42" s="65">
        <v>7</v>
      </c>
      <c r="C42" s="66">
        <f t="shared" si="0"/>
        <v>128688</v>
      </c>
      <c r="D42" s="67">
        <f t="shared" si="6"/>
        <v>128700</v>
      </c>
      <c r="E42" s="68">
        <f t="shared" si="1"/>
        <v>130200</v>
      </c>
      <c r="F42" s="52"/>
      <c r="G42" s="54">
        <v>8</v>
      </c>
      <c r="H42" s="67">
        <v>8</v>
      </c>
      <c r="I42" s="62">
        <f t="shared" si="2"/>
        <v>148800</v>
      </c>
      <c r="J42" s="63">
        <f t="shared" si="3"/>
        <v>44937.599999999999</v>
      </c>
      <c r="K42" s="63">
        <f t="shared" si="4"/>
        <v>193737.60000000001</v>
      </c>
      <c r="L42" s="56">
        <f t="shared" si="5"/>
        <v>193799.99999999997</v>
      </c>
    </row>
    <row r="43" spans="1:12" x14ac:dyDescent="0.3">
      <c r="A43" s="64">
        <v>516</v>
      </c>
      <c r="B43" s="65">
        <v>3</v>
      </c>
      <c r="C43" s="66">
        <f t="shared" si="0"/>
        <v>55152</v>
      </c>
      <c r="D43" s="67">
        <f t="shared" si="6"/>
        <v>55200</v>
      </c>
      <c r="E43" s="68">
        <f t="shared" si="1"/>
        <v>55800</v>
      </c>
      <c r="F43" s="52"/>
      <c r="G43" s="54">
        <v>2</v>
      </c>
      <c r="H43" s="67">
        <v>4</v>
      </c>
      <c r="I43" s="62">
        <f t="shared" si="2"/>
        <v>74400</v>
      </c>
      <c r="J43" s="63">
        <f t="shared" si="3"/>
        <v>22468.799999999999</v>
      </c>
      <c r="K43" s="63">
        <f t="shared" si="4"/>
        <v>96868.800000000003</v>
      </c>
      <c r="L43" s="56">
        <f t="shared" si="5"/>
        <v>96899.999999999985</v>
      </c>
    </row>
    <row r="44" spans="1:12" x14ac:dyDescent="0.3">
      <c r="A44" s="64">
        <v>527</v>
      </c>
      <c r="B44" s="65">
        <v>1</v>
      </c>
      <c r="C44" s="66">
        <f t="shared" si="0"/>
        <v>18384</v>
      </c>
      <c r="D44" s="67">
        <f t="shared" si="6"/>
        <v>18400</v>
      </c>
      <c r="E44" s="68">
        <f t="shared" si="1"/>
        <v>18600</v>
      </c>
      <c r="F44" s="52"/>
      <c r="G44" s="54">
        <v>0</v>
      </c>
      <c r="H44" s="67"/>
      <c r="I44" s="62">
        <f t="shared" si="2"/>
        <v>0</v>
      </c>
      <c r="J44" s="63">
        <f t="shared" si="3"/>
        <v>0</v>
      </c>
      <c r="K44" s="63">
        <f t="shared" si="4"/>
        <v>0</v>
      </c>
      <c r="L44" s="56">
        <f t="shared" si="5"/>
        <v>0</v>
      </c>
    </row>
    <row r="45" spans="1:12" x14ac:dyDescent="0.3">
      <c r="A45" s="64">
        <v>528</v>
      </c>
      <c r="B45" s="65">
        <v>1</v>
      </c>
      <c r="C45" s="66">
        <f t="shared" si="0"/>
        <v>18384</v>
      </c>
      <c r="D45" s="67">
        <f t="shared" si="6"/>
        <v>18400</v>
      </c>
      <c r="E45" s="68">
        <f t="shared" si="1"/>
        <v>18600</v>
      </c>
      <c r="F45" s="52"/>
      <c r="G45" s="54">
        <v>1</v>
      </c>
      <c r="H45" s="67">
        <v>1</v>
      </c>
      <c r="I45" s="62">
        <f t="shared" si="2"/>
        <v>18600</v>
      </c>
      <c r="J45" s="63">
        <f t="shared" si="3"/>
        <v>5617.2</v>
      </c>
      <c r="K45" s="63">
        <f t="shared" si="4"/>
        <v>24217.200000000001</v>
      </c>
      <c r="L45" s="56">
        <f t="shared" si="5"/>
        <v>24300</v>
      </c>
    </row>
    <row r="46" spans="1:12" x14ac:dyDescent="0.3">
      <c r="A46" s="64">
        <v>557</v>
      </c>
      <c r="B46" s="65">
        <v>1</v>
      </c>
      <c r="C46" s="66">
        <f t="shared" si="0"/>
        <v>18384</v>
      </c>
      <c r="D46" s="67">
        <f t="shared" si="6"/>
        <v>18400</v>
      </c>
      <c r="E46" s="68">
        <f t="shared" si="1"/>
        <v>18600</v>
      </c>
      <c r="F46" s="52"/>
      <c r="G46" s="54">
        <v>2</v>
      </c>
      <c r="H46" s="67">
        <v>2</v>
      </c>
      <c r="I46" s="62">
        <f t="shared" si="2"/>
        <v>37200</v>
      </c>
      <c r="J46" s="63">
        <f t="shared" si="3"/>
        <v>11234.4</v>
      </c>
      <c r="K46" s="63">
        <f t="shared" si="4"/>
        <v>48434.400000000001</v>
      </c>
      <c r="L46" s="56">
        <f t="shared" si="5"/>
        <v>48500</v>
      </c>
    </row>
    <row r="47" spans="1:12" x14ac:dyDescent="0.3">
      <c r="A47" s="64">
        <v>569</v>
      </c>
      <c r="B47" s="65">
        <v>3</v>
      </c>
      <c r="C47" s="66">
        <f t="shared" si="0"/>
        <v>55152</v>
      </c>
      <c r="D47" s="67">
        <f t="shared" si="6"/>
        <v>55200</v>
      </c>
      <c r="E47" s="68">
        <f t="shared" si="1"/>
        <v>55800</v>
      </c>
      <c r="F47" s="52"/>
      <c r="G47" s="54">
        <v>3</v>
      </c>
      <c r="H47" s="67">
        <v>3</v>
      </c>
      <c r="I47" s="62">
        <f t="shared" si="2"/>
        <v>55800</v>
      </c>
      <c r="J47" s="63">
        <f t="shared" si="3"/>
        <v>16851.599999999999</v>
      </c>
      <c r="K47" s="63">
        <f t="shared" si="4"/>
        <v>72651.600000000006</v>
      </c>
      <c r="L47" s="56">
        <f t="shared" si="5"/>
        <v>72699.999999999985</v>
      </c>
    </row>
    <row r="48" spans="1:12" x14ac:dyDescent="0.3">
      <c r="A48" s="64">
        <v>570</v>
      </c>
      <c r="B48" s="65">
        <v>4</v>
      </c>
      <c r="C48" s="66">
        <f t="shared" si="0"/>
        <v>73536</v>
      </c>
      <c r="D48" s="67">
        <f t="shared" si="6"/>
        <v>73600</v>
      </c>
      <c r="E48" s="68">
        <f t="shared" si="1"/>
        <v>74400</v>
      </c>
      <c r="F48" s="52"/>
      <c r="G48" s="54">
        <v>2</v>
      </c>
      <c r="H48" s="67">
        <v>3</v>
      </c>
      <c r="I48" s="62">
        <f t="shared" si="2"/>
        <v>55800</v>
      </c>
      <c r="J48" s="63">
        <f t="shared" si="3"/>
        <v>16851.599999999999</v>
      </c>
      <c r="K48" s="63">
        <f t="shared" si="4"/>
        <v>72651.600000000006</v>
      </c>
      <c r="L48" s="56">
        <f t="shared" si="5"/>
        <v>72699.999999999985</v>
      </c>
    </row>
    <row r="49" spans="1:12" x14ac:dyDescent="0.3">
      <c r="A49" s="64">
        <v>571</v>
      </c>
      <c r="B49" s="65">
        <v>0</v>
      </c>
      <c r="C49" s="66">
        <f t="shared" si="0"/>
        <v>0</v>
      </c>
      <c r="D49" s="67">
        <f t="shared" si="6"/>
        <v>0</v>
      </c>
      <c r="E49" s="68">
        <f t="shared" si="1"/>
        <v>0</v>
      </c>
      <c r="F49" s="52"/>
      <c r="G49" s="54">
        <v>0</v>
      </c>
      <c r="H49" s="67">
        <v>0</v>
      </c>
      <c r="I49" s="62">
        <f t="shared" si="2"/>
        <v>0</v>
      </c>
      <c r="J49" s="63">
        <f t="shared" si="3"/>
        <v>0</v>
      </c>
      <c r="K49" s="63">
        <f t="shared" si="4"/>
        <v>0</v>
      </c>
      <c r="L49" s="56">
        <f t="shared" si="5"/>
        <v>0</v>
      </c>
    </row>
    <row r="50" spans="1:12" x14ac:dyDescent="0.3">
      <c r="A50" s="64">
        <v>572</v>
      </c>
      <c r="B50" s="65">
        <v>2</v>
      </c>
      <c r="C50" s="66">
        <f t="shared" si="0"/>
        <v>36768</v>
      </c>
      <c r="D50" s="67">
        <f t="shared" si="6"/>
        <v>36800</v>
      </c>
      <c r="E50" s="68">
        <f t="shared" si="1"/>
        <v>37200</v>
      </c>
      <c r="F50" s="52"/>
      <c r="G50" s="54">
        <v>3</v>
      </c>
      <c r="H50" s="67">
        <v>3</v>
      </c>
      <c r="I50" s="62">
        <f t="shared" si="2"/>
        <v>55800</v>
      </c>
      <c r="J50" s="63">
        <f t="shared" si="3"/>
        <v>16851.599999999999</v>
      </c>
      <c r="K50" s="63">
        <f t="shared" si="4"/>
        <v>72651.600000000006</v>
      </c>
      <c r="L50" s="56">
        <f t="shared" si="5"/>
        <v>72699.999999999985</v>
      </c>
    </row>
    <row r="51" spans="1:12" x14ac:dyDescent="0.3">
      <c r="A51" s="64">
        <v>574</v>
      </c>
      <c r="B51" s="65">
        <v>3</v>
      </c>
      <c r="C51" s="66">
        <f t="shared" si="0"/>
        <v>55152</v>
      </c>
      <c r="D51" s="67">
        <f t="shared" si="6"/>
        <v>55200</v>
      </c>
      <c r="E51" s="68">
        <f t="shared" si="1"/>
        <v>55800</v>
      </c>
      <c r="F51" s="52"/>
      <c r="G51" s="54">
        <v>3</v>
      </c>
      <c r="H51" s="67">
        <v>2</v>
      </c>
      <c r="I51" s="62">
        <f t="shared" si="2"/>
        <v>37200</v>
      </c>
      <c r="J51" s="63">
        <f t="shared" si="3"/>
        <v>11234.4</v>
      </c>
      <c r="K51" s="63">
        <f t="shared" si="4"/>
        <v>48434.400000000001</v>
      </c>
      <c r="L51" s="56">
        <f t="shared" si="5"/>
        <v>48500</v>
      </c>
    </row>
    <row r="52" spans="1:12" x14ac:dyDescent="0.3">
      <c r="A52" s="64">
        <v>591</v>
      </c>
      <c r="B52" s="65">
        <v>1</v>
      </c>
      <c r="C52" s="66">
        <f t="shared" si="0"/>
        <v>18384</v>
      </c>
      <c r="D52" s="67">
        <f t="shared" si="6"/>
        <v>18400</v>
      </c>
      <c r="E52" s="68">
        <f t="shared" si="1"/>
        <v>18600</v>
      </c>
      <c r="F52" s="52"/>
      <c r="G52" s="54">
        <v>0</v>
      </c>
      <c r="H52" s="67">
        <v>1</v>
      </c>
      <c r="I52" s="62">
        <f t="shared" si="2"/>
        <v>18600</v>
      </c>
      <c r="J52" s="63">
        <f t="shared" si="3"/>
        <v>5617.2</v>
      </c>
      <c r="K52" s="63">
        <f t="shared" si="4"/>
        <v>24217.200000000001</v>
      </c>
      <c r="L52" s="56">
        <f t="shared" si="5"/>
        <v>24300</v>
      </c>
    </row>
    <row r="53" spans="1:12" x14ac:dyDescent="0.3">
      <c r="A53" s="64">
        <v>592</v>
      </c>
      <c r="B53" s="65">
        <v>1</v>
      </c>
      <c r="C53" s="66">
        <f t="shared" si="0"/>
        <v>18384</v>
      </c>
      <c r="D53" s="67">
        <f t="shared" si="6"/>
        <v>18400</v>
      </c>
      <c r="E53" s="68">
        <f t="shared" si="1"/>
        <v>18600</v>
      </c>
      <c r="F53" s="52"/>
      <c r="G53" s="54">
        <v>1</v>
      </c>
      <c r="H53" s="67">
        <v>1</v>
      </c>
      <c r="I53" s="62">
        <f t="shared" si="2"/>
        <v>18600</v>
      </c>
      <c r="J53" s="63">
        <f t="shared" si="3"/>
        <v>5617.2</v>
      </c>
      <c r="K53" s="63">
        <f t="shared" si="4"/>
        <v>24217.200000000001</v>
      </c>
      <c r="L53" s="56">
        <f t="shared" si="5"/>
        <v>24300</v>
      </c>
    </row>
    <row r="54" spans="1:12" x14ac:dyDescent="0.3">
      <c r="A54" s="64">
        <v>593</v>
      </c>
      <c r="B54" s="65">
        <v>3</v>
      </c>
      <c r="C54" s="66">
        <f t="shared" si="0"/>
        <v>55152</v>
      </c>
      <c r="D54" s="67">
        <f t="shared" si="6"/>
        <v>55200</v>
      </c>
      <c r="E54" s="68">
        <f t="shared" si="1"/>
        <v>55800</v>
      </c>
      <c r="F54" s="52"/>
      <c r="G54" s="54">
        <v>2</v>
      </c>
      <c r="H54" s="67">
        <v>2</v>
      </c>
      <c r="I54" s="62">
        <f t="shared" si="2"/>
        <v>37200</v>
      </c>
      <c r="J54" s="63">
        <f t="shared" si="3"/>
        <v>11234.4</v>
      </c>
      <c r="K54" s="63">
        <f t="shared" si="4"/>
        <v>48434.400000000001</v>
      </c>
      <c r="L54" s="56">
        <f t="shared" si="5"/>
        <v>48500</v>
      </c>
    </row>
    <row r="55" spans="1:12" x14ac:dyDescent="0.3">
      <c r="A55" s="64">
        <v>625</v>
      </c>
      <c r="B55" s="65">
        <v>0</v>
      </c>
      <c r="C55" s="66">
        <f t="shared" si="0"/>
        <v>0</v>
      </c>
      <c r="D55" s="67">
        <f t="shared" si="6"/>
        <v>0</v>
      </c>
      <c r="E55" s="68">
        <f t="shared" si="1"/>
        <v>0</v>
      </c>
      <c r="F55" s="52"/>
      <c r="G55" s="54"/>
      <c r="H55" s="67">
        <v>2</v>
      </c>
      <c r="I55" s="62">
        <f t="shared" si="2"/>
        <v>37200</v>
      </c>
      <c r="J55" s="63">
        <f t="shared" si="3"/>
        <v>11234.4</v>
      </c>
      <c r="K55" s="63">
        <f t="shared" si="4"/>
        <v>48434.400000000001</v>
      </c>
      <c r="L55" s="56">
        <f t="shared" si="5"/>
        <v>48500</v>
      </c>
    </row>
    <row r="56" spans="1:12" x14ac:dyDescent="0.3">
      <c r="A56" s="64">
        <v>627</v>
      </c>
      <c r="B56" s="65">
        <v>4</v>
      </c>
      <c r="C56" s="66">
        <f t="shared" si="0"/>
        <v>73536</v>
      </c>
      <c r="D56" s="67">
        <f t="shared" si="6"/>
        <v>73600</v>
      </c>
      <c r="E56" s="68">
        <f t="shared" si="1"/>
        <v>74400</v>
      </c>
      <c r="F56" s="52"/>
      <c r="G56" s="54"/>
      <c r="H56" s="67">
        <v>6</v>
      </c>
      <c r="I56" s="62">
        <f t="shared" si="2"/>
        <v>111600</v>
      </c>
      <c r="J56" s="63">
        <f t="shared" si="3"/>
        <v>33703.199999999997</v>
      </c>
      <c r="K56" s="63">
        <f t="shared" si="4"/>
        <v>145303.20000000001</v>
      </c>
      <c r="L56" s="56">
        <f t="shared" si="5"/>
        <v>145400</v>
      </c>
    </row>
    <row r="57" spans="1:12" x14ac:dyDescent="0.3">
      <c r="A57" s="64">
        <v>639</v>
      </c>
      <c r="B57" s="65">
        <v>0</v>
      </c>
      <c r="C57" s="66">
        <f t="shared" si="0"/>
        <v>0</v>
      </c>
      <c r="D57" s="67">
        <f t="shared" si="6"/>
        <v>0</v>
      </c>
      <c r="E57" s="68">
        <f t="shared" si="1"/>
        <v>0</v>
      </c>
      <c r="F57" s="52"/>
      <c r="G57" s="54">
        <v>0</v>
      </c>
      <c r="H57" s="67"/>
      <c r="I57" s="62">
        <f t="shared" si="2"/>
        <v>0</v>
      </c>
      <c r="J57" s="63">
        <f t="shared" si="3"/>
        <v>0</v>
      </c>
      <c r="K57" s="63">
        <f t="shared" si="4"/>
        <v>0</v>
      </c>
      <c r="L57" s="56">
        <f t="shared" si="5"/>
        <v>0</v>
      </c>
    </row>
    <row r="58" spans="1:12" x14ac:dyDescent="0.3">
      <c r="A58" s="64">
        <v>641</v>
      </c>
      <c r="B58" s="65">
        <v>2</v>
      </c>
      <c r="C58" s="66">
        <f t="shared" si="0"/>
        <v>36768</v>
      </c>
      <c r="D58" s="67">
        <f t="shared" si="6"/>
        <v>36800</v>
      </c>
      <c r="E58" s="68">
        <f t="shared" si="1"/>
        <v>37200</v>
      </c>
      <c r="F58" s="52"/>
      <c r="G58" s="54">
        <v>0</v>
      </c>
      <c r="H58" s="67">
        <v>1</v>
      </c>
      <c r="I58" s="62">
        <f t="shared" si="2"/>
        <v>18600</v>
      </c>
      <c r="J58" s="63">
        <f t="shared" si="3"/>
        <v>5617.2</v>
      </c>
      <c r="K58" s="63">
        <f t="shared" si="4"/>
        <v>24217.200000000001</v>
      </c>
      <c r="L58" s="56">
        <f t="shared" si="5"/>
        <v>24300</v>
      </c>
    </row>
    <row r="59" spans="1:12" x14ac:dyDescent="0.3">
      <c r="A59" s="64">
        <v>667</v>
      </c>
      <c r="B59" s="65">
        <v>2</v>
      </c>
      <c r="C59" s="66">
        <f t="shared" si="0"/>
        <v>36768</v>
      </c>
      <c r="D59" s="67">
        <f t="shared" si="6"/>
        <v>36800</v>
      </c>
      <c r="E59" s="68">
        <f t="shared" si="1"/>
        <v>37200</v>
      </c>
      <c r="F59" s="52"/>
      <c r="G59" s="54">
        <v>2</v>
      </c>
      <c r="H59" s="67">
        <v>2</v>
      </c>
      <c r="I59" s="62">
        <f t="shared" si="2"/>
        <v>37200</v>
      </c>
      <c r="J59" s="63">
        <f t="shared" si="3"/>
        <v>11234.4</v>
      </c>
      <c r="K59" s="63">
        <f t="shared" si="4"/>
        <v>48434.400000000001</v>
      </c>
      <c r="L59" s="56">
        <f t="shared" si="5"/>
        <v>48500</v>
      </c>
    </row>
    <row r="60" spans="1:12" x14ac:dyDescent="0.3">
      <c r="A60" s="64">
        <v>689</v>
      </c>
      <c r="B60" s="65">
        <v>1</v>
      </c>
      <c r="C60" s="66">
        <f t="shared" si="0"/>
        <v>18384</v>
      </c>
      <c r="D60" s="67">
        <f t="shared" si="6"/>
        <v>18400</v>
      </c>
      <c r="E60" s="68">
        <f t="shared" si="1"/>
        <v>18600</v>
      </c>
      <c r="F60" s="52"/>
      <c r="G60" s="54">
        <v>1</v>
      </c>
      <c r="H60" s="67">
        <v>2</v>
      </c>
      <c r="I60" s="62">
        <f t="shared" si="2"/>
        <v>37200</v>
      </c>
      <c r="J60" s="63">
        <f t="shared" si="3"/>
        <v>11234.4</v>
      </c>
      <c r="K60" s="63">
        <f t="shared" si="4"/>
        <v>48434.400000000001</v>
      </c>
      <c r="L60" s="56">
        <f t="shared" si="5"/>
        <v>48500</v>
      </c>
    </row>
    <row r="61" spans="1:12" x14ac:dyDescent="0.3">
      <c r="A61" s="64">
        <v>690</v>
      </c>
      <c r="B61" s="65">
        <v>1</v>
      </c>
      <c r="C61" s="66">
        <f t="shared" si="0"/>
        <v>18384</v>
      </c>
      <c r="D61" s="67">
        <f t="shared" si="6"/>
        <v>18400</v>
      </c>
      <c r="E61" s="68">
        <f t="shared" si="1"/>
        <v>18600</v>
      </c>
      <c r="F61" s="52"/>
      <c r="G61" s="54">
        <v>4</v>
      </c>
      <c r="H61" s="67">
        <v>4</v>
      </c>
      <c r="I61" s="62">
        <f t="shared" si="2"/>
        <v>74400</v>
      </c>
      <c r="J61" s="63">
        <f t="shared" si="3"/>
        <v>22468.799999999999</v>
      </c>
      <c r="K61" s="63">
        <f t="shared" si="4"/>
        <v>96868.800000000003</v>
      </c>
      <c r="L61" s="56">
        <f t="shared" si="5"/>
        <v>96899.999999999985</v>
      </c>
    </row>
    <row r="62" spans="1:12" x14ac:dyDescent="0.3">
      <c r="A62" s="64"/>
      <c r="B62" s="65">
        <v>0</v>
      </c>
      <c r="C62" s="66">
        <f t="shared" si="0"/>
        <v>0</v>
      </c>
      <c r="D62" s="67">
        <f t="shared" si="6"/>
        <v>0</v>
      </c>
      <c r="E62" s="68">
        <f t="shared" si="1"/>
        <v>0</v>
      </c>
      <c r="F62" s="52"/>
      <c r="G62" s="54"/>
      <c r="H62" s="67"/>
      <c r="I62" s="62">
        <f t="shared" si="2"/>
        <v>0</v>
      </c>
      <c r="J62" s="63">
        <f t="shared" si="3"/>
        <v>0</v>
      </c>
      <c r="K62" s="63">
        <f t="shared" si="4"/>
        <v>0</v>
      </c>
      <c r="L62" s="56">
        <f t="shared" si="5"/>
        <v>0</v>
      </c>
    </row>
    <row r="63" spans="1:12" x14ac:dyDescent="0.3">
      <c r="A63" s="64" t="s">
        <v>101</v>
      </c>
      <c r="B63" s="65">
        <v>6</v>
      </c>
      <c r="C63" s="66">
        <f t="shared" si="0"/>
        <v>110304</v>
      </c>
      <c r="D63" s="67">
        <f t="shared" si="6"/>
        <v>110400</v>
      </c>
      <c r="E63" s="68">
        <f t="shared" si="1"/>
        <v>111600</v>
      </c>
      <c r="F63" s="52"/>
      <c r="G63" s="67">
        <v>5</v>
      </c>
      <c r="H63" s="67">
        <v>5</v>
      </c>
      <c r="I63" s="62">
        <f t="shared" si="2"/>
        <v>93000</v>
      </c>
      <c r="J63" s="63">
        <f t="shared" si="3"/>
        <v>28086</v>
      </c>
      <c r="K63" s="63">
        <f t="shared" si="4"/>
        <v>121086</v>
      </c>
      <c r="L63" s="56">
        <f t="shared" si="5"/>
        <v>121100</v>
      </c>
    </row>
    <row r="64" spans="1:12" x14ac:dyDescent="0.3">
      <c r="A64" s="64" t="s">
        <v>102</v>
      </c>
      <c r="B64" s="65">
        <v>1</v>
      </c>
      <c r="C64" s="66">
        <f t="shared" si="0"/>
        <v>18384</v>
      </c>
      <c r="D64" s="67">
        <f t="shared" si="6"/>
        <v>18400</v>
      </c>
      <c r="E64" s="68">
        <f t="shared" si="1"/>
        <v>18600</v>
      </c>
      <c r="F64" s="52"/>
      <c r="G64" s="67">
        <v>2</v>
      </c>
      <c r="H64" s="67">
        <v>2</v>
      </c>
      <c r="I64" s="62">
        <f t="shared" si="2"/>
        <v>37200</v>
      </c>
      <c r="J64" s="63">
        <f t="shared" si="3"/>
        <v>11234.4</v>
      </c>
      <c r="K64" s="63">
        <f t="shared" si="4"/>
        <v>48434.400000000001</v>
      </c>
      <c r="L64" s="56">
        <f t="shared" si="5"/>
        <v>48500</v>
      </c>
    </row>
    <row r="65" spans="1:12" x14ac:dyDescent="0.3">
      <c r="A65" s="64" t="s">
        <v>103</v>
      </c>
      <c r="B65" s="65">
        <v>1</v>
      </c>
      <c r="C65" s="66">
        <f t="shared" si="0"/>
        <v>18384</v>
      </c>
      <c r="D65" s="67">
        <f t="shared" si="6"/>
        <v>18400</v>
      </c>
      <c r="E65" s="68">
        <f t="shared" si="1"/>
        <v>18600</v>
      </c>
      <c r="F65" s="52"/>
      <c r="G65" s="67">
        <v>1</v>
      </c>
      <c r="H65" s="67">
        <v>2</v>
      </c>
      <c r="I65" s="62">
        <f t="shared" si="2"/>
        <v>37200</v>
      </c>
      <c r="J65" s="63">
        <f t="shared" si="3"/>
        <v>11234.4</v>
      </c>
      <c r="K65" s="63">
        <f t="shared" si="4"/>
        <v>48434.400000000001</v>
      </c>
      <c r="L65" s="56">
        <f t="shared" si="5"/>
        <v>48500</v>
      </c>
    </row>
    <row r="66" spans="1:12" x14ac:dyDescent="0.3">
      <c r="A66" s="64" t="s">
        <v>116</v>
      </c>
      <c r="B66" s="65">
        <v>0</v>
      </c>
      <c r="C66" s="66">
        <f t="shared" si="0"/>
        <v>0</v>
      </c>
      <c r="D66" s="67">
        <f t="shared" si="6"/>
        <v>0</v>
      </c>
      <c r="E66" s="68">
        <f t="shared" si="1"/>
        <v>0</v>
      </c>
      <c r="F66" s="52"/>
      <c r="G66" s="54"/>
      <c r="H66" s="67">
        <v>0</v>
      </c>
      <c r="I66" s="62">
        <f t="shared" si="2"/>
        <v>0</v>
      </c>
      <c r="J66" s="63">
        <f t="shared" si="3"/>
        <v>0</v>
      </c>
      <c r="K66" s="63">
        <f t="shared" si="4"/>
        <v>0</v>
      </c>
      <c r="L66" s="56">
        <f t="shared" si="5"/>
        <v>0</v>
      </c>
    </row>
    <row r="67" spans="1:12" x14ac:dyDescent="0.3">
      <c r="A67" s="64" t="s">
        <v>94</v>
      </c>
      <c r="B67" s="65">
        <v>5</v>
      </c>
      <c r="C67" s="66">
        <f t="shared" si="0"/>
        <v>91920</v>
      </c>
      <c r="D67" s="67">
        <f t="shared" si="6"/>
        <v>92000</v>
      </c>
      <c r="E67" s="68">
        <f t="shared" si="1"/>
        <v>93000</v>
      </c>
      <c r="F67" s="52"/>
      <c r="G67" s="54">
        <v>3</v>
      </c>
      <c r="H67" s="67">
        <v>2</v>
      </c>
      <c r="I67" s="62">
        <f t="shared" si="2"/>
        <v>37200</v>
      </c>
      <c r="J67" s="63">
        <f t="shared" si="3"/>
        <v>11234.4</v>
      </c>
      <c r="K67" s="63">
        <f t="shared" si="4"/>
        <v>48434.400000000001</v>
      </c>
      <c r="L67" s="56">
        <f t="shared" si="5"/>
        <v>48500</v>
      </c>
    </row>
    <row r="68" spans="1:12" x14ac:dyDescent="0.3">
      <c r="A68" s="64" t="s">
        <v>96</v>
      </c>
      <c r="B68" s="65">
        <v>7</v>
      </c>
      <c r="C68" s="66">
        <f t="shared" si="0"/>
        <v>128688</v>
      </c>
      <c r="D68" s="67">
        <f t="shared" si="6"/>
        <v>128700</v>
      </c>
      <c r="E68" s="68">
        <f t="shared" si="1"/>
        <v>130200</v>
      </c>
      <c r="F68" s="52"/>
      <c r="G68" s="54">
        <v>5</v>
      </c>
      <c r="H68" s="67">
        <v>7</v>
      </c>
      <c r="I68" s="62">
        <f t="shared" si="2"/>
        <v>130200</v>
      </c>
      <c r="J68" s="63">
        <f t="shared" si="3"/>
        <v>39320.400000000001</v>
      </c>
      <c r="K68" s="63">
        <f t="shared" si="4"/>
        <v>169520.4</v>
      </c>
      <c r="L68" s="56">
        <f t="shared" si="5"/>
        <v>169600</v>
      </c>
    </row>
    <row r="69" spans="1:12" x14ac:dyDescent="0.3">
      <c r="A69" s="64" t="s">
        <v>97</v>
      </c>
      <c r="B69" s="65">
        <v>0</v>
      </c>
      <c r="C69" s="66">
        <f t="shared" ref="C69:C78" si="7">B69*$D$4*12</f>
        <v>0</v>
      </c>
      <c r="D69" s="67">
        <f t="shared" si="6"/>
        <v>0</v>
      </c>
      <c r="E69" s="68">
        <f t="shared" si="1"/>
        <v>0</v>
      </c>
      <c r="F69" s="52"/>
      <c r="G69" s="54">
        <v>1</v>
      </c>
      <c r="H69" s="67">
        <v>1</v>
      </c>
      <c r="I69" s="62">
        <f t="shared" si="2"/>
        <v>18600</v>
      </c>
      <c r="J69" s="63">
        <f t="shared" si="3"/>
        <v>5617.2</v>
      </c>
      <c r="K69" s="63">
        <f t="shared" si="4"/>
        <v>24217.200000000001</v>
      </c>
      <c r="L69" s="56">
        <f t="shared" si="5"/>
        <v>24300</v>
      </c>
    </row>
    <row r="70" spans="1:12" x14ac:dyDescent="0.3">
      <c r="A70" s="64" t="s">
        <v>117</v>
      </c>
      <c r="B70" s="65">
        <v>0</v>
      </c>
      <c r="C70" s="66">
        <f t="shared" si="7"/>
        <v>0</v>
      </c>
      <c r="D70" s="67">
        <f t="shared" si="6"/>
        <v>0</v>
      </c>
      <c r="E70" s="68">
        <f t="shared" ref="E70:E78" si="8">B70*$E$4*12</f>
        <v>0</v>
      </c>
      <c r="F70" s="52"/>
      <c r="G70" s="54"/>
      <c r="H70" s="67"/>
      <c r="I70" s="62">
        <f t="shared" ref="I70:I78" si="9">H70*$E$4*12</f>
        <v>0</v>
      </c>
      <c r="J70" s="63">
        <f t="shared" ref="J70:J78" si="10">ROUND(I70*$J$4,2)</f>
        <v>0</v>
      </c>
      <c r="K70" s="63">
        <f t="shared" ref="K70:K78" si="11">I70+J70</f>
        <v>0</v>
      </c>
      <c r="L70" s="56">
        <f t="shared" ref="L70:L78" si="12">IF(K70&gt;=-99,IF(K70&gt;0,ROUNDUP(K70/1000,1),0),ROUNDDOWN(K70/1000,1))*1000</f>
        <v>0</v>
      </c>
    </row>
    <row r="71" spans="1:12" x14ac:dyDescent="0.3">
      <c r="A71" s="64" t="s">
        <v>98</v>
      </c>
      <c r="B71" s="65">
        <v>12</v>
      </c>
      <c r="C71" s="66">
        <f t="shared" si="7"/>
        <v>220608</v>
      </c>
      <c r="D71" s="67">
        <f t="shared" si="6"/>
        <v>220700</v>
      </c>
      <c r="E71" s="68">
        <f t="shared" si="8"/>
        <v>223200</v>
      </c>
      <c r="F71" s="52"/>
      <c r="G71" s="54">
        <v>10</v>
      </c>
      <c r="H71" s="67">
        <v>9</v>
      </c>
      <c r="I71" s="62">
        <f t="shared" si="9"/>
        <v>167400</v>
      </c>
      <c r="J71" s="63">
        <f t="shared" si="10"/>
        <v>50554.8</v>
      </c>
      <c r="K71" s="63">
        <f t="shared" si="11"/>
        <v>217954.8</v>
      </c>
      <c r="L71" s="56">
        <f t="shared" si="12"/>
        <v>218000</v>
      </c>
    </row>
    <row r="72" spans="1:12" x14ac:dyDescent="0.3">
      <c r="A72" s="64" t="s">
        <v>105</v>
      </c>
      <c r="B72" s="65">
        <v>2</v>
      </c>
      <c r="C72" s="66">
        <f t="shared" si="7"/>
        <v>36768</v>
      </c>
      <c r="D72" s="67">
        <f t="shared" si="6"/>
        <v>36800</v>
      </c>
      <c r="E72" s="68">
        <f t="shared" si="8"/>
        <v>37200</v>
      </c>
      <c r="F72" s="52"/>
      <c r="G72" s="54">
        <v>2</v>
      </c>
      <c r="H72" s="67">
        <v>2</v>
      </c>
      <c r="I72" s="62">
        <f t="shared" si="9"/>
        <v>37200</v>
      </c>
      <c r="J72" s="63">
        <f t="shared" si="10"/>
        <v>11234.4</v>
      </c>
      <c r="K72" s="63">
        <f t="shared" si="11"/>
        <v>48434.400000000001</v>
      </c>
      <c r="L72" s="56">
        <f t="shared" si="12"/>
        <v>48500</v>
      </c>
    </row>
    <row r="73" spans="1:12" x14ac:dyDescent="0.3">
      <c r="A73" s="64" t="s">
        <v>69</v>
      </c>
      <c r="B73" s="65">
        <v>0</v>
      </c>
      <c r="C73" s="66">
        <f t="shared" si="7"/>
        <v>0</v>
      </c>
      <c r="D73" s="67">
        <f t="shared" ref="D73:D78" si="13">ROUNDUP(C73,-2)</f>
        <v>0</v>
      </c>
      <c r="E73" s="68">
        <f t="shared" si="8"/>
        <v>0</v>
      </c>
      <c r="F73" s="52"/>
      <c r="G73" s="54">
        <v>0</v>
      </c>
      <c r="H73" s="67">
        <v>0</v>
      </c>
      <c r="I73" s="62">
        <f t="shared" si="9"/>
        <v>0</v>
      </c>
      <c r="J73" s="63">
        <f t="shared" si="10"/>
        <v>0</v>
      </c>
      <c r="K73" s="63">
        <f t="shared" si="11"/>
        <v>0</v>
      </c>
      <c r="L73" s="56">
        <f t="shared" si="12"/>
        <v>0</v>
      </c>
    </row>
    <row r="74" spans="1:12" x14ac:dyDescent="0.3">
      <c r="A74" s="64" t="s">
        <v>104</v>
      </c>
      <c r="B74" s="65">
        <v>2</v>
      </c>
      <c r="C74" s="66">
        <f t="shared" si="7"/>
        <v>36768</v>
      </c>
      <c r="D74" s="67">
        <f t="shared" si="13"/>
        <v>36800</v>
      </c>
      <c r="E74" s="68">
        <f t="shared" si="8"/>
        <v>37200</v>
      </c>
      <c r="F74" s="52"/>
      <c r="G74" s="54">
        <v>1</v>
      </c>
      <c r="H74" s="67">
        <v>2</v>
      </c>
      <c r="I74" s="62">
        <f t="shared" si="9"/>
        <v>37200</v>
      </c>
      <c r="J74" s="63">
        <f t="shared" si="10"/>
        <v>11234.4</v>
      </c>
      <c r="K74" s="63">
        <f t="shared" si="11"/>
        <v>48434.400000000001</v>
      </c>
      <c r="L74" s="56">
        <f t="shared" si="12"/>
        <v>48500</v>
      </c>
    </row>
    <row r="75" spans="1:12" x14ac:dyDescent="0.3">
      <c r="A75" s="64" t="s">
        <v>106</v>
      </c>
      <c r="B75" s="65">
        <v>0</v>
      </c>
      <c r="C75" s="66">
        <f t="shared" si="7"/>
        <v>0</v>
      </c>
      <c r="D75" s="67">
        <f t="shared" si="13"/>
        <v>0</v>
      </c>
      <c r="E75" s="68">
        <f t="shared" si="8"/>
        <v>0</v>
      </c>
      <c r="F75" s="52"/>
      <c r="G75" s="54">
        <v>1</v>
      </c>
      <c r="H75" s="67">
        <v>1</v>
      </c>
      <c r="I75" s="62">
        <f t="shared" si="9"/>
        <v>18600</v>
      </c>
      <c r="J75" s="63">
        <f t="shared" si="10"/>
        <v>5617.2</v>
      </c>
      <c r="K75" s="63">
        <f t="shared" si="11"/>
        <v>24217.200000000001</v>
      </c>
      <c r="L75" s="56">
        <f t="shared" si="12"/>
        <v>24300</v>
      </c>
    </row>
    <row r="76" spans="1:12" x14ac:dyDescent="0.3">
      <c r="A76" s="64" t="s">
        <v>93</v>
      </c>
      <c r="B76" s="65">
        <v>0</v>
      </c>
      <c r="C76" s="66">
        <f t="shared" si="7"/>
        <v>0</v>
      </c>
      <c r="D76" s="67">
        <f t="shared" si="13"/>
        <v>0</v>
      </c>
      <c r="E76" s="68">
        <f t="shared" si="8"/>
        <v>0</v>
      </c>
      <c r="F76" s="52"/>
      <c r="G76" s="54">
        <v>0</v>
      </c>
      <c r="H76" s="67">
        <v>0</v>
      </c>
      <c r="I76" s="62">
        <f t="shared" si="9"/>
        <v>0</v>
      </c>
      <c r="J76" s="63">
        <f t="shared" si="10"/>
        <v>0</v>
      </c>
      <c r="K76" s="54">
        <f t="shared" si="11"/>
        <v>0</v>
      </c>
      <c r="L76" s="56">
        <f t="shared" si="12"/>
        <v>0</v>
      </c>
    </row>
    <row r="77" spans="1:12" x14ac:dyDescent="0.3">
      <c r="A77" s="64" t="s">
        <v>100</v>
      </c>
      <c r="B77" s="65">
        <v>0</v>
      </c>
      <c r="C77" s="66">
        <f t="shared" si="7"/>
        <v>0</v>
      </c>
      <c r="D77" s="67">
        <f t="shared" si="13"/>
        <v>0</v>
      </c>
      <c r="E77" s="68">
        <f t="shared" si="8"/>
        <v>0</v>
      </c>
      <c r="F77" s="52"/>
      <c r="G77" s="54">
        <v>0</v>
      </c>
      <c r="H77" s="67">
        <v>0</v>
      </c>
      <c r="I77" s="62">
        <f t="shared" si="9"/>
        <v>0</v>
      </c>
      <c r="J77" s="63">
        <f t="shared" si="10"/>
        <v>0</v>
      </c>
      <c r="K77" s="54">
        <f t="shared" si="11"/>
        <v>0</v>
      </c>
      <c r="L77" s="56">
        <f t="shared" si="12"/>
        <v>0</v>
      </c>
    </row>
    <row r="78" spans="1:12" x14ac:dyDescent="0.3">
      <c r="A78" s="64" t="s">
        <v>108</v>
      </c>
      <c r="B78" s="65">
        <v>1</v>
      </c>
      <c r="C78" s="66">
        <f t="shared" si="7"/>
        <v>18384</v>
      </c>
      <c r="D78" s="67">
        <f t="shared" si="13"/>
        <v>18400</v>
      </c>
      <c r="E78" s="68">
        <f t="shared" si="8"/>
        <v>18600</v>
      </c>
      <c r="F78" s="52"/>
      <c r="G78" s="54">
        <v>0</v>
      </c>
      <c r="H78" s="67">
        <v>0</v>
      </c>
      <c r="I78" s="62">
        <f t="shared" si="9"/>
        <v>0</v>
      </c>
      <c r="J78" s="63">
        <f t="shared" si="10"/>
        <v>0</v>
      </c>
      <c r="K78" s="54">
        <f t="shared" si="11"/>
        <v>0</v>
      </c>
      <c r="L78" s="56">
        <f t="shared" si="12"/>
        <v>0</v>
      </c>
    </row>
    <row r="79" spans="1:12" ht="15" thickBot="1" x14ac:dyDescent="0.35">
      <c r="A79" s="69" t="s">
        <v>91</v>
      </c>
      <c r="B79" s="70">
        <f>SUM(B5:B78)</f>
        <v>146</v>
      </c>
      <c r="C79" s="71">
        <f>SUM(C5:C78)</f>
        <v>2684064</v>
      </c>
      <c r="D79" s="72">
        <f>SUM(D5:D78)</f>
        <v>2686100</v>
      </c>
      <c r="E79" s="73">
        <f>SUM(E5:E78)</f>
        <v>2715600</v>
      </c>
      <c r="F79" s="52"/>
      <c r="G79" s="67">
        <f t="shared" ref="G79:L79" si="14">SUM(G5:G78)</f>
        <v>136</v>
      </c>
      <c r="H79" s="67">
        <f t="shared" si="14"/>
        <v>154</v>
      </c>
      <c r="I79" s="74">
        <f t="shared" si="14"/>
        <v>2864400</v>
      </c>
      <c r="J79" s="74">
        <f t="shared" si="14"/>
        <v>865048.8</v>
      </c>
      <c r="K79" s="75">
        <f t="shared" si="14"/>
        <v>3729448.8</v>
      </c>
      <c r="L79" s="76">
        <f t="shared" si="14"/>
        <v>3732900</v>
      </c>
    </row>
    <row r="81" spans="5:12" x14ac:dyDescent="0.3">
      <c r="E81" s="77"/>
      <c r="F81" s="78"/>
      <c r="H81" s="79"/>
    </row>
    <row r="82" spans="5:12" x14ac:dyDescent="0.3">
      <c r="H82" s="80"/>
      <c r="K82" s="41" t="s">
        <v>118</v>
      </c>
      <c r="L82" s="81">
        <f>L79-E79</f>
        <v>1017300</v>
      </c>
    </row>
  </sheetData>
  <mergeCells count="2">
    <mergeCell ref="A2:E2"/>
    <mergeCell ref="H2:J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&amp;L&amp;D&amp;Z&amp;F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80"/>
  <sheetViews>
    <sheetView topLeftCell="H1" zoomScale="80" zoomScaleNormal="80" workbookViewId="0">
      <selection activeCell="B44" sqref="A44:XFD44"/>
    </sheetView>
  </sheetViews>
  <sheetFormatPr defaultColWidth="8.88671875" defaultRowHeight="14.4" x14ac:dyDescent="0.3"/>
  <cols>
    <col min="1" max="1" width="16" style="39" customWidth="1"/>
    <col min="2" max="2" width="9" style="40" hidden="1" customWidth="1"/>
    <col min="3" max="3" width="11.88671875" style="41" hidden="1" customWidth="1"/>
    <col min="4" max="4" width="11.33203125" style="41" hidden="1" customWidth="1"/>
    <col min="5" max="5" width="10.6640625" style="41" hidden="1" customWidth="1"/>
    <col min="6" max="6" width="10.6640625" style="42" hidden="1" customWidth="1"/>
    <col min="7" max="7" width="11.6640625" style="41" hidden="1" customWidth="1"/>
    <col min="8" max="8" width="7" style="41" customWidth="1"/>
    <col min="9" max="9" width="12.6640625" style="41" customWidth="1"/>
    <col min="10" max="10" width="12.88671875" style="41" customWidth="1"/>
    <col min="11" max="11" width="14.6640625" style="41" customWidth="1"/>
    <col min="12" max="12" width="11.88671875" style="43" customWidth="1"/>
    <col min="13" max="13" width="8.88671875" style="41"/>
    <col min="14" max="14" width="10.6640625" style="41" customWidth="1"/>
    <col min="15" max="15" width="10.88671875" style="41" customWidth="1"/>
    <col min="16" max="16" width="10.5546875" style="41" customWidth="1"/>
    <col min="17" max="17" width="14" style="43" customWidth="1"/>
    <col min="18" max="18" width="11.6640625" style="41" customWidth="1"/>
    <col min="19" max="19" width="15" style="41" customWidth="1"/>
    <col min="20" max="20" width="8.88671875" style="41"/>
    <col min="21" max="21" width="12.109375" style="41" customWidth="1"/>
    <col min="22" max="16384" width="8.88671875" style="41"/>
  </cols>
  <sheetData>
    <row r="1" spans="1:21" x14ac:dyDescent="0.3">
      <c r="D1" s="41">
        <v>1450</v>
      </c>
    </row>
    <row r="2" spans="1:21" s="45" customFormat="1" ht="29.4" customHeight="1" x14ac:dyDescent="0.3">
      <c r="A2" s="586"/>
      <c r="B2" s="587"/>
      <c r="C2" s="587"/>
      <c r="D2" s="587"/>
      <c r="E2" s="587"/>
      <c r="F2" s="44"/>
      <c r="H2" s="588" t="s">
        <v>110</v>
      </c>
      <c r="I2" s="589"/>
      <c r="J2" s="589"/>
      <c r="L2" s="46"/>
      <c r="Q2" s="46"/>
    </row>
    <row r="3" spans="1:21" ht="15" thickBot="1" x14ac:dyDescent="0.35">
      <c r="I3" s="41">
        <v>212</v>
      </c>
      <c r="J3" s="41">
        <v>213</v>
      </c>
      <c r="R3" s="54" t="s">
        <v>76</v>
      </c>
      <c r="S3" s="54"/>
      <c r="T3" s="54" t="s">
        <v>77</v>
      </c>
    </row>
    <row r="4" spans="1:21" ht="44.4" customHeight="1" thickBot="1" x14ac:dyDescent="0.35">
      <c r="A4" s="47" t="s">
        <v>111</v>
      </c>
      <c r="B4" s="48" t="s">
        <v>112</v>
      </c>
      <c r="C4" s="49"/>
      <c r="D4" s="50">
        <v>1532</v>
      </c>
      <c r="E4" s="51">
        <v>1550</v>
      </c>
      <c r="F4" s="52"/>
      <c r="G4" s="53" t="s">
        <v>113</v>
      </c>
      <c r="H4" s="53" t="s">
        <v>112</v>
      </c>
      <c r="I4" s="54"/>
      <c r="J4" s="55">
        <v>0.30199999999999999</v>
      </c>
      <c r="K4" s="54" t="s">
        <v>114</v>
      </c>
      <c r="L4" s="56" t="s">
        <v>115</v>
      </c>
      <c r="M4" s="85" t="s">
        <v>82</v>
      </c>
      <c r="N4" s="86" t="s">
        <v>90</v>
      </c>
      <c r="O4" s="86" t="s">
        <v>86</v>
      </c>
      <c r="P4" s="86" t="s">
        <v>91</v>
      </c>
      <c r="Q4" s="93" t="s">
        <v>92</v>
      </c>
      <c r="R4" s="89" t="s">
        <v>120</v>
      </c>
      <c r="S4" s="90" t="s">
        <v>121</v>
      </c>
      <c r="T4" s="88">
        <v>212</v>
      </c>
    </row>
    <row r="5" spans="1:21" x14ac:dyDescent="0.3">
      <c r="A5" s="57">
        <v>13</v>
      </c>
      <c r="B5" s="58">
        <v>2</v>
      </c>
      <c r="C5" s="59">
        <f t="shared" ref="C5:C61" si="0">B5*$D$4*12</f>
        <v>36768</v>
      </c>
      <c r="D5" s="60">
        <f>ROUNDUP(C5,-2)</f>
        <v>36800</v>
      </c>
      <c r="E5" s="61">
        <f>B5*$E$4*12</f>
        <v>37200</v>
      </c>
      <c r="F5" s="52"/>
      <c r="G5" s="54">
        <v>4</v>
      </c>
      <c r="H5" s="60">
        <v>4</v>
      </c>
      <c r="I5" s="62">
        <f>H5*$E$4*12</f>
        <v>74400</v>
      </c>
      <c r="J5" s="63">
        <f>ROUND(I5*$J$4,2)</f>
        <v>22468.799999999999</v>
      </c>
      <c r="K5" s="63">
        <f>I5+J5</f>
        <v>96868.800000000003</v>
      </c>
      <c r="L5" s="56">
        <f>IF(K5&gt;=-99,IF(K5&gt;0,ROUNDUP(K5/1000,1),0),ROUNDDOWN(K5/1000,1))*1000</f>
        <v>96899.999999999985</v>
      </c>
      <c r="M5" s="86">
        <v>8</v>
      </c>
      <c r="N5" s="86">
        <v>222760</v>
      </c>
      <c r="O5" s="86">
        <v>67273.52</v>
      </c>
      <c r="P5" s="86">
        <v>290033.52</v>
      </c>
      <c r="Q5" s="93">
        <v>290100</v>
      </c>
      <c r="R5" s="91">
        <v>297160</v>
      </c>
      <c r="S5" s="91">
        <v>89840</v>
      </c>
      <c r="T5" s="88">
        <v>11510.8</v>
      </c>
      <c r="U5" s="92">
        <f>L5+Q5-R5-S5</f>
        <v>0</v>
      </c>
    </row>
    <row r="6" spans="1:21" x14ac:dyDescent="0.3">
      <c r="A6" s="64">
        <v>14</v>
      </c>
      <c r="B6" s="65">
        <v>1</v>
      </c>
      <c r="C6" s="66">
        <f t="shared" si="0"/>
        <v>18384</v>
      </c>
      <c r="D6" s="67">
        <f>ROUNDUP(C6,-2)</f>
        <v>18400</v>
      </c>
      <c r="E6" s="68">
        <f t="shared" ref="E6:E61" si="1">B6*$E$4*12</f>
        <v>18600</v>
      </c>
      <c r="F6" s="52"/>
      <c r="G6" s="54">
        <v>0</v>
      </c>
      <c r="H6" s="67"/>
      <c r="I6" s="62">
        <f t="shared" ref="I6:I61" si="2">H6*$E$4*12</f>
        <v>0</v>
      </c>
      <c r="J6" s="63">
        <f t="shared" ref="J6:J61" si="3">ROUND(I6*$J$4,2)</f>
        <v>0</v>
      </c>
      <c r="K6" s="63">
        <f t="shared" ref="K6:K61" si="4">I6+J6</f>
        <v>0</v>
      </c>
      <c r="L6" s="56">
        <f t="shared" ref="L6:L61" si="5">IF(K6&gt;=-99,IF(K6&gt;0,ROUNDUP(K6/1000,1),0),ROUNDDOWN(K6/1000,1))*1000</f>
        <v>0</v>
      </c>
      <c r="M6" s="86">
        <v>6</v>
      </c>
      <c r="N6" s="86">
        <v>167070</v>
      </c>
      <c r="O6" s="86">
        <v>50455.14</v>
      </c>
      <c r="P6" s="86">
        <v>217525.14</v>
      </c>
      <c r="Q6" s="93">
        <v>217600</v>
      </c>
      <c r="R6" s="91">
        <v>167070</v>
      </c>
      <c r="S6" s="91">
        <v>50530</v>
      </c>
      <c r="T6" s="88"/>
      <c r="U6" s="92">
        <f t="shared" ref="U6:U69" si="6">L6+Q6-R6-S6</f>
        <v>0</v>
      </c>
    </row>
    <row r="7" spans="1:21" x14ac:dyDescent="0.3">
      <c r="A7" s="64">
        <v>17</v>
      </c>
      <c r="B7" s="65">
        <v>5</v>
      </c>
      <c r="C7" s="66">
        <f t="shared" si="0"/>
        <v>91920</v>
      </c>
      <c r="D7" s="67">
        <f>ROUNDUP(C7,-2)</f>
        <v>92000</v>
      </c>
      <c r="E7" s="68">
        <f t="shared" si="1"/>
        <v>93000</v>
      </c>
      <c r="F7" s="52"/>
      <c r="G7" s="54">
        <v>7</v>
      </c>
      <c r="H7" s="67">
        <v>6</v>
      </c>
      <c r="I7" s="62">
        <f t="shared" si="2"/>
        <v>111600</v>
      </c>
      <c r="J7" s="63">
        <f t="shared" si="3"/>
        <v>33703.199999999997</v>
      </c>
      <c r="K7" s="63">
        <f t="shared" si="4"/>
        <v>145303.20000000001</v>
      </c>
      <c r="L7" s="56">
        <f t="shared" si="5"/>
        <v>145400</v>
      </c>
      <c r="M7" s="86">
        <v>6</v>
      </c>
      <c r="N7" s="86">
        <v>167070</v>
      </c>
      <c r="O7" s="86">
        <v>50455.14</v>
      </c>
      <c r="P7" s="86">
        <v>217525.14</v>
      </c>
      <c r="Q7" s="93">
        <v>217600</v>
      </c>
      <c r="R7" s="91">
        <v>278670</v>
      </c>
      <c r="S7" s="91">
        <v>84330</v>
      </c>
      <c r="T7" s="88">
        <v>17357</v>
      </c>
      <c r="U7" s="92">
        <f t="shared" si="6"/>
        <v>0</v>
      </c>
    </row>
    <row r="8" spans="1:21" x14ac:dyDescent="0.3">
      <c r="A8" s="64">
        <v>20</v>
      </c>
      <c r="B8" s="65">
        <v>4</v>
      </c>
      <c r="C8" s="66">
        <f t="shared" si="0"/>
        <v>73536</v>
      </c>
      <c r="D8" s="67">
        <f>ROUNDUP(C8,-2)</f>
        <v>73600</v>
      </c>
      <c r="E8" s="68">
        <f t="shared" si="1"/>
        <v>74400</v>
      </c>
      <c r="F8" s="52"/>
      <c r="G8" s="54">
        <v>4</v>
      </c>
      <c r="H8" s="67">
        <v>4</v>
      </c>
      <c r="I8" s="62">
        <f t="shared" si="2"/>
        <v>74400</v>
      </c>
      <c r="J8" s="63">
        <f t="shared" si="3"/>
        <v>22468.799999999999</v>
      </c>
      <c r="K8" s="63">
        <f t="shared" si="4"/>
        <v>96868.800000000003</v>
      </c>
      <c r="L8" s="56">
        <f t="shared" si="5"/>
        <v>96899.999999999985</v>
      </c>
      <c r="M8" s="86">
        <v>7</v>
      </c>
      <c r="N8" s="86">
        <v>194915</v>
      </c>
      <c r="O8" s="86">
        <v>58864.33</v>
      </c>
      <c r="P8" s="86">
        <v>253779.33000000002</v>
      </c>
      <c r="Q8" s="93">
        <v>253799.99999999997</v>
      </c>
      <c r="R8" s="91">
        <v>297160</v>
      </c>
      <c r="S8" s="91">
        <v>89840</v>
      </c>
      <c r="T8" s="88">
        <v>11464.1</v>
      </c>
      <c r="U8" s="92">
        <f t="shared" si="6"/>
        <v>-36300.000000000058</v>
      </c>
    </row>
    <row r="9" spans="1:21" x14ac:dyDescent="0.3">
      <c r="A9" s="64">
        <v>23</v>
      </c>
      <c r="B9" s="65">
        <v>4</v>
      </c>
      <c r="C9" s="66">
        <f t="shared" si="0"/>
        <v>73536</v>
      </c>
      <c r="D9" s="67">
        <f t="shared" ref="D9:D61" si="7">ROUNDUP(C9,-2)</f>
        <v>73600</v>
      </c>
      <c r="E9" s="68">
        <f t="shared" si="1"/>
        <v>74400</v>
      </c>
      <c r="F9" s="52"/>
      <c r="G9" s="54">
        <v>2</v>
      </c>
      <c r="H9" s="67">
        <v>3</v>
      </c>
      <c r="I9" s="62">
        <f t="shared" si="2"/>
        <v>55800</v>
      </c>
      <c r="J9" s="63">
        <f t="shared" si="3"/>
        <v>16851.599999999999</v>
      </c>
      <c r="K9" s="63">
        <f t="shared" si="4"/>
        <v>72651.600000000006</v>
      </c>
      <c r="L9" s="56">
        <f t="shared" si="5"/>
        <v>72699.999999999985</v>
      </c>
      <c r="M9" s="86">
        <v>9</v>
      </c>
      <c r="N9" s="86">
        <v>250605</v>
      </c>
      <c r="O9" s="86">
        <v>75682.710000000006</v>
      </c>
      <c r="P9" s="86">
        <v>326287.71000000002</v>
      </c>
      <c r="Q9" s="93">
        <v>326300</v>
      </c>
      <c r="R9" s="91">
        <v>306405</v>
      </c>
      <c r="S9" s="91">
        <v>92695</v>
      </c>
      <c r="T9" s="88">
        <v>5691.6</v>
      </c>
      <c r="U9" s="92">
        <f t="shared" si="6"/>
        <v>-100</v>
      </c>
    </row>
    <row r="10" spans="1:21" x14ac:dyDescent="0.3">
      <c r="A10" s="64">
        <v>26</v>
      </c>
      <c r="B10" s="65">
        <v>4</v>
      </c>
      <c r="C10" s="66">
        <f t="shared" si="0"/>
        <v>73536</v>
      </c>
      <c r="D10" s="67">
        <f t="shared" si="7"/>
        <v>73600</v>
      </c>
      <c r="E10" s="68">
        <f t="shared" si="1"/>
        <v>74400</v>
      </c>
      <c r="F10" s="52"/>
      <c r="G10" s="54">
        <v>2</v>
      </c>
      <c r="H10" s="67">
        <v>1</v>
      </c>
      <c r="I10" s="62">
        <f t="shared" si="2"/>
        <v>18600</v>
      </c>
      <c r="J10" s="63">
        <f t="shared" si="3"/>
        <v>5617.2</v>
      </c>
      <c r="K10" s="63">
        <f t="shared" si="4"/>
        <v>24217.200000000001</v>
      </c>
      <c r="L10" s="56">
        <f t="shared" si="5"/>
        <v>24300</v>
      </c>
      <c r="M10" s="86">
        <v>9</v>
      </c>
      <c r="N10" s="86">
        <v>250605</v>
      </c>
      <c r="O10" s="86">
        <v>75682.710000000006</v>
      </c>
      <c r="P10" s="86">
        <v>326287.71000000002</v>
      </c>
      <c r="Q10" s="93">
        <v>326300</v>
      </c>
      <c r="R10" s="91">
        <v>297050</v>
      </c>
      <c r="S10" s="91">
        <v>89850</v>
      </c>
      <c r="T10" s="88">
        <v>2758.7</v>
      </c>
      <c r="U10" s="92">
        <f t="shared" si="6"/>
        <v>-36300</v>
      </c>
    </row>
    <row r="11" spans="1:21" x14ac:dyDescent="0.3">
      <c r="A11" s="64">
        <v>34</v>
      </c>
      <c r="B11" s="65">
        <v>2</v>
      </c>
      <c r="C11" s="66">
        <f t="shared" si="0"/>
        <v>36768</v>
      </c>
      <c r="D11" s="67">
        <f t="shared" si="7"/>
        <v>36800</v>
      </c>
      <c r="E11" s="68">
        <f t="shared" si="1"/>
        <v>37200</v>
      </c>
      <c r="F11" s="52"/>
      <c r="G11" s="54">
        <v>2</v>
      </c>
      <c r="H11" s="67">
        <v>2</v>
      </c>
      <c r="I11" s="62">
        <f t="shared" si="2"/>
        <v>37200</v>
      </c>
      <c r="J11" s="63">
        <f t="shared" si="3"/>
        <v>11234.4</v>
      </c>
      <c r="K11" s="63">
        <f t="shared" si="4"/>
        <v>48434.400000000001</v>
      </c>
      <c r="L11" s="56">
        <f t="shared" si="5"/>
        <v>48500</v>
      </c>
      <c r="M11" s="86">
        <v>11</v>
      </c>
      <c r="N11" s="86">
        <v>306295</v>
      </c>
      <c r="O11" s="86">
        <v>92501.09</v>
      </c>
      <c r="P11" s="86">
        <v>398796.08999999997</v>
      </c>
      <c r="Q11" s="93">
        <v>398800</v>
      </c>
      <c r="R11" s="91">
        <v>399185</v>
      </c>
      <c r="S11" s="91">
        <v>120715</v>
      </c>
      <c r="T11" s="88">
        <v>5725.8</v>
      </c>
      <c r="U11" s="92">
        <f>L11+Q11-R11-S11</f>
        <v>-72600</v>
      </c>
    </row>
    <row r="12" spans="1:21" x14ac:dyDescent="0.3">
      <c r="A12" s="64">
        <v>39</v>
      </c>
      <c r="B12" s="65">
        <v>4</v>
      </c>
      <c r="C12" s="66">
        <f t="shared" si="0"/>
        <v>73536</v>
      </c>
      <c r="D12" s="67">
        <f t="shared" si="7"/>
        <v>73600</v>
      </c>
      <c r="E12" s="68">
        <f t="shared" si="1"/>
        <v>74400</v>
      </c>
      <c r="F12" s="52"/>
      <c r="G12" s="54">
        <v>2</v>
      </c>
      <c r="H12" s="67">
        <v>4</v>
      </c>
      <c r="I12" s="62">
        <f t="shared" si="2"/>
        <v>74400</v>
      </c>
      <c r="J12" s="63">
        <f t="shared" si="3"/>
        <v>22468.799999999999</v>
      </c>
      <c r="K12" s="63">
        <f t="shared" si="4"/>
        <v>96868.800000000003</v>
      </c>
      <c r="L12" s="56">
        <f t="shared" si="5"/>
        <v>96899.999999999985</v>
      </c>
      <c r="M12" s="86">
        <v>7</v>
      </c>
      <c r="N12" s="86">
        <v>194915</v>
      </c>
      <c r="O12" s="86">
        <v>58864.33</v>
      </c>
      <c r="P12" s="86">
        <v>253779.33000000002</v>
      </c>
      <c r="Q12" s="93">
        <v>253799.99999999997</v>
      </c>
      <c r="R12" s="91">
        <v>269315</v>
      </c>
      <c r="S12" s="91">
        <v>81485</v>
      </c>
      <c r="T12" s="88">
        <v>8604.1</v>
      </c>
      <c r="U12" s="92">
        <f t="shared" si="6"/>
        <v>-100.00000000005821</v>
      </c>
    </row>
    <row r="13" spans="1:21" x14ac:dyDescent="0.3">
      <c r="A13" s="64">
        <v>268</v>
      </c>
      <c r="B13" s="65">
        <v>2</v>
      </c>
      <c r="C13" s="66">
        <f t="shared" si="0"/>
        <v>36768</v>
      </c>
      <c r="D13" s="67">
        <f t="shared" si="7"/>
        <v>36800</v>
      </c>
      <c r="E13" s="68">
        <f t="shared" si="1"/>
        <v>37200</v>
      </c>
      <c r="F13" s="52"/>
      <c r="G13" s="54">
        <v>1</v>
      </c>
      <c r="H13" s="67">
        <v>1</v>
      </c>
      <c r="I13" s="62">
        <f t="shared" si="2"/>
        <v>18600</v>
      </c>
      <c r="J13" s="63">
        <f t="shared" si="3"/>
        <v>5617.2</v>
      </c>
      <c r="K13" s="63">
        <f t="shared" si="4"/>
        <v>24217.200000000001</v>
      </c>
      <c r="L13" s="56">
        <f t="shared" si="5"/>
        <v>24300</v>
      </c>
      <c r="M13" s="86">
        <v>9</v>
      </c>
      <c r="N13" s="86">
        <v>250605</v>
      </c>
      <c r="O13" s="86">
        <v>75682.710000000006</v>
      </c>
      <c r="P13" s="86">
        <v>326287.71000000002</v>
      </c>
      <c r="Q13" s="93">
        <v>326300</v>
      </c>
      <c r="R13" s="91">
        <v>269205</v>
      </c>
      <c r="S13" s="91">
        <v>81495</v>
      </c>
      <c r="T13" s="88">
        <v>2835.8</v>
      </c>
      <c r="U13" s="92">
        <f t="shared" si="6"/>
        <v>-100</v>
      </c>
    </row>
    <row r="14" spans="1:21" x14ac:dyDescent="0.3">
      <c r="A14" s="64">
        <v>323</v>
      </c>
      <c r="B14" s="65">
        <v>2</v>
      </c>
      <c r="C14" s="66">
        <f t="shared" si="0"/>
        <v>36768</v>
      </c>
      <c r="D14" s="67">
        <f t="shared" si="7"/>
        <v>36800</v>
      </c>
      <c r="E14" s="68">
        <f t="shared" si="1"/>
        <v>37200</v>
      </c>
      <c r="F14" s="52"/>
      <c r="G14" s="54">
        <v>2</v>
      </c>
      <c r="H14" s="67">
        <v>3</v>
      </c>
      <c r="I14" s="62">
        <f t="shared" si="2"/>
        <v>55800</v>
      </c>
      <c r="J14" s="63">
        <f t="shared" si="3"/>
        <v>16851.599999999999</v>
      </c>
      <c r="K14" s="63">
        <f t="shared" si="4"/>
        <v>72651.600000000006</v>
      </c>
      <c r="L14" s="56">
        <f t="shared" si="5"/>
        <v>72699.999999999985</v>
      </c>
      <c r="M14" s="86">
        <v>9</v>
      </c>
      <c r="N14" s="86">
        <v>250605</v>
      </c>
      <c r="O14" s="86">
        <v>75682.710000000006</v>
      </c>
      <c r="P14" s="86">
        <v>326287.71000000002</v>
      </c>
      <c r="Q14" s="93">
        <v>326300</v>
      </c>
      <c r="R14" s="91">
        <v>306405</v>
      </c>
      <c r="S14" s="91">
        <v>91695</v>
      </c>
      <c r="T14" s="88">
        <v>2900</v>
      </c>
      <c r="U14" s="92">
        <f t="shared" si="6"/>
        <v>900</v>
      </c>
    </row>
    <row r="15" spans="1:21" x14ac:dyDescent="0.3">
      <c r="A15" s="64">
        <v>326</v>
      </c>
      <c r="B15" s="65">
        <v>0</v>
      </c>
      <c r="C15" s="66">
        <f t="shared" si="0"/>
        <v>0</v>
      </c>
      <c r="D15" s="67">
        <f t="shared" si="7"/>
        <v>0</v>
      </c>
      <c r="E15" s="68">
        <f t="shared" si="1"/>
        <v>0</v>
      </c>
      <c r="F15" s="52"/>
      <c r="G15" s="54">
        <v>0</v>
      </c>
      <c r="H15" s="67"/>
      <c r="I15" s="62">
        <f t="shared" si="2"/>
        <v>0</v>
      </c>
      <c r="J15" s="63">
        <f t="shared" si="3"/>
        <v>0</v>
      </c>
      <c r="K15" s="63">
        <f t="shared" si="4"/>
        <v>0</v>
      </c>
      <c r="L15" s="56">
        <f t="shared" si="5"/>
        <v>0</v>
      </c>
      <c r="M15" s="86">
        <v>2</v>
      </c>
      <c r="N15" s="86">
        <v>55690</v>
      </c>
      <c r="O15" s="86">
        <v>16818.38</v>
      </c>
      <c r="P15" s="86">
        <v>72508.38</v>
      </c>
      <c r="Q15" s="93">
        <v>72600</v>
      </c>
      <c r="R15" s="91">
        <v>55690</v>
      </c>
      <c r="S15" s="91">
        <v>16910</v>
      </c>
      <c r="T15" s="88"/>
      <c r="U15" s="92">
        <f t="shared" si="6"/>
        <v>0</v>
      </c>
    </row>
    <row r="16" spans="1:21" x14ac:dyDescent="0.3">
      <c r="A16" s="64">
        <v>327</v>
      </c>
      <c r="B16" s="65">
        <v>1</v>
      </c>
      <c r="C16" s="66">
        <f t="shared" si="0"/>
        <v>18384</v>
      </c>
      <c r="D16" s="67">
        <f t="shared" si="7"/>
        <v>18400</v>
      </c>
      <c r="E16" s="68">
        <f t="shared" si="1"/>
        <v>18600</v>
      </c>
      <c r="F16" s="52"/>
      <c r="G16" s="54">
        <v>3</v>
      </c>
      <c r="H16" s="67">
        <v>3</v>
      </c>
      <c r="I16" s="62">
        <f t="shared" si="2"/>
        <v>55800</v>
      </c>
      <c r="J16" s="63">
        <f t="shared" si="3"/>
        <v>16851.599999999999</v>
      </c>
      <c r="K16" s="63">
        <f t="shared" si="4"/>
        <v>72651.600000000006</v>
      </c>
      <c r="L16" s="56">
        <f t="shared" si="5"/>
        <v>72699.999999999985</v>
      </c>
      <c r="M16" s="86">
        <v>9</v>
      </c>
      <c r="N16" s="86">
        <v>250605</v>
      </c>
      <c r="O16" s="86">
        <v>75682.710000000006</v>
      </c>
      <c r="P16" s="86">
        <v>326287.71000000002</v>
      </c>
      <c r="Q16" s="93">
        <v>326300</v>
      </c>
      <c r="R16" s="91">
        <v>306405</v>
      </c>
      <c r="S16" s="91">
        <v>92695</v>
      </c>
      <c r="T16" s="88">
        <v>8632.9</v>
      </c>
      <c r="U16" s="92">
        <f t="shared" si="6"/>
        <v>-100</v>
      </c>
    </row>
    <row r="17" spans="1:21" x14ac:dyDescent="0.3">
      <c r="A17" s="64">
        <v>328</v>
      </c>
      <c r="B17" s="65">
        <v>1</v>
      </c>
      <c r="C17" s="66">
        <f t="shared" si="0"/>
        <v>18384</v>
      </c>
      <c r="D17" s="67">
        <f t="shared" si="7"/>
        <v>18400</v>
      </c>
      <c r="E17" s="68">
        <f t="shared" si="1"/>
        <v>18600</v>
      </c>
      <c r="F17" s="52"/>
      <c r="G17" s="54">
        <v>1</v>
      </c>
      <c r="H17" s="67">
        <v>1</v>
      </c>
      <c r="I17" s="62">
        <f t="shared" si="2"/>
        <v>18600</v>
      </c>
      <c r="J17" s="63">
        <f t="shared" si="3"/>
        <v>5617.2</v>
      </c>
      <c r="K17" s="63">
        <f t="shared" si="4"/>
        <v>24217.200000000001</v>
      </c>
      <c r="L17" s="56">
        <f t="shared" si="5"/>
        <v>24300</v>
      </c>
      <c r="M17" s="86">
        <v>7</v>
      </c>
      <c r="N17" s="86">
        <v>194915</v>
      </c>
      <c r="O17" s="86">
        <v>58864.33</v>
      </c>
      <c r="P17" s="86">
        <v>253779.33000000002</v>
      </c>
      <c r="Q17" s="93">
        <v>253799.99999999997</v>
      </c>
      <c r="R17" s="91">
        <v>241360</v>
      </c>
      <c r="S17" s="91">
        <v>73040</v>
      </c>
      <c r="T17" s="88">
        <v>2775.4</v>
      </c>
      <c r="U17" s="92">
        <f t="shared" si="6"/>
        <v>-36300</v>
      </c>
    </row>
    <row r="18" spans="1:21" x14ac:dyDescent="0.3">
      <c r="A18" s="64">
        <v>329</v>
      </c>
      <c r="B18" s="65">
        <v>1</v>
      </c>
      <c r="C18" s="66">
        <f t="shared" si="0"/>
        <v>18384</v>
      </c>
      <c r="D18" s="67">
        <f t="shared" si="7"/>
        <v>18400</v>
      </c>
      <c r="E18" s="68">
        <f t="shared" si="1"/>
        <v>18600</v>
      </c>
      <c r="F18" s="52"/>
      <c r="G18" s="54">
        <v>0</v>
      </c>
      <c r="H18" s="67">
        <v>1</v>
      </c>
      <c r="I18" s="62">
        <f t="shared" si="2"/>
        <v>18600</v>
      </c>
      <c r="J18" s="63">
        <f t="shared" si="3"/>
        <v>5617.2</v>
      </c>
      <c r="K18" s="63">
        <f t="shared" si="4"/>
        <v>24217.200000000001</v>
      </c>
      <c r="L18" s="56">
        <f t="shared" si="5"/>
        <v>24300</v>
      </c>
      <c r="M18" s="86">
        <v>7</v>
      </c>
      <c r="N18" s="86">
        <v>194915</v>
      </c>
      <c r="O18" s="86">
        <v>58864.33</v>
      </c>
      <c r="P18" s="86">
        <v>253779.33000000002</v>
      </c>
      <c r="Q18" s="93">
        <v>253799.99999999997</v>
      </c>
      <c r="R18" s="91">
        <v>241360</v>
      </c>
      <c r="S18" s="91">
        <v>73040</v>
      </c>
      <c r="T18" s="88"/>
      <c r="U18" s="92">
        <f t="shared" si="6"/>
        <v>-36300</v>
      </c>
    </row>
    <row r="19" spans="1:21" x14ac:dyDescent="0.3">
      <c r="A19" s="64">
        <v>330</v>
      </c>
      <c r="B19" s="65">
        <v>1</v>
      </c>
      <c r="C19" s="66">
        <f t="shared" si="0"/>
        <v>18384</v>
      </c>
      <c r="D19" s="67">
        <f t="shared" si="7"/>
        <v>18400</v>
      </c>
      <c r="E19" s="68">
        <f t="shared" si="1"/>
        <v>18600</v>
      </c>
      <c r="F19" s="52"/>
      <c r="G19" s="54">
        <v>2</v>
      </c>
      <c r="H19" s="67">
        <v>2</v>
      </c>
      <c r="I19" s="62">
        <f t="shared" si="2"/>
        <v>37200</v>
      </c>
      <c r="J19" s="63">
        <f t="shared" si="3"/>
        <v>11234.4</v>
      </c>
      <c r="K19" s="63">
        <f t="shared" si="4"/>
        <v>48434.400000000001</v>
      </c>
      <c r="L19" s="56">
        <f t="shared" si="5"/>
        <v>48500</v>
      </c>
      <c r="M19" s="86">
        <v>8</v>
      </c>
      <c r="N19" s="86">
        <v>222760</v>
      </c>
      <c r="O19" s="86">
        <v>67273.52</v>
      </c>
      <c r="P19" s="86">
        <v>290033.52</v>
      </c>
      <c r="Q19" s="93">
        <v>290100</v>
      </c>
      <c r="R19" s="91">
        <v>259960</v>
      </c>
      <c r="S19" s="91">
        <v>78640</v>
      </c>
      <c r="T19" s="88">
        <v>5660.4</v>
      </c>
      <c r="U19" s="92">
        <f t="shared" si="6"/>
        <v>0</v>
      </c>
    </row>
    <row r="20" spans="1:21" x14ac:dyDescent="0.3">
      <c r="A20" s="64">
        <v>331</v>
      </c>
      <c r="B20" s="65">
        <v>1</v>
      </c>
      <c r="C20" s="66">
        <f t="shared" si="0"/>
        <v>18384</v>
      </c>
      <c r="D20" s="67">
        <f t="shared" si="7"/>
        <v>18400</v>
      </c>
      <c r="E20" s="68">
        <f t="shared" si="1"/>
        <v>18600</v>
      </c>
      <c r="F20" s="52"/>
      <c r="G20" s="54">
        <v>1</v>
      </c>
      <c r="H20" s="67">
        <v>1</v>
      </c>
      <c r="I20" s="62">
        <f t="shared" si="2"/>
        <v>18600</v>
      </c>
      <c r="J20" s="63">
        <f t="shared" si="3"/>
        <v>5617.2</v>
      </c>
      <c r="K20" s="63">
        <f t="shared" si="4"/>
        <v>24217.200000000001</v>
      </c>
      <c r="L20" s="56">
        <f t="shared" si="5"/>
        <v>24300</v>
      </c>
      <c r="M20" s="86">
        <v>5</v>
      </c>
      <c r="N20" s="86">
        <v>139225</v>
      </c>
      <c r="O20" s="86">
        <v>42045.95</v>
      </c>
      <c r="P20" s="86">
        <v>181270.95</v>
      </c>
      <c r="Q20" s="93">
        <v>181299.99999999997</v>
      </c>
      <c r="R20" s="91">
        <v>157825</v>
      </c>
      <c r="S20" s="91">
        <v>47875</v>
      </c>
      <c r="T20" s="88">
        <v>2817.5</v>
      </c>
      <c r="U20" s="92">
        <f t="shared" si="6"/>
        <v>-100.0000000000291</v>
      </c>
    </row>
    <row r="21" spans="1:21" x14ac:dyDescent="0.3">
      <c r="A21" s="64">
        <v>332</v>
      </c>
      <c r="B21" s="65">
        <v>0</v>
      </c>
      <c r="C21" s="66">
        <f t="shared" si="0"/>
        <v>0</v>
      </c>
      <c r="D21" s="67">
        <f t="shared" si="7"/>
        <v>0</v>
      </c>
      <c r="E21" s="68">
        <f t="shared" si="1"/>
        <v>0</v>
      </c>
      <c r="F21" s="52"/>
      <c r="G21" s="54">
        <v>0</v>
      </c>
      <c r="H21" s="67"/>
      <c r="I21" s="62">
        <f t="shared" si="2"/>
        <v>0</v>
      </c>
      <c r="J21" s="63">
        <f t="shared" si="3"/>
        <v>0</v>
      </c>
      <c r="K21" s="63">
        <f t="shared" si="4"/>
        <v>0</v>
      </c>
      <c r="L21" s="56">
        <f t="shared" si="5"/>
        <v>0</v>
      </c>
      <c r="M21" s="86">
        <v>9</v>
      </c>
      <c r="N21" s="86">
        <v>250605</v>
      </c>
      <c r="O21" s="86">
        <v>75682.710000000006</v>
      </c>
      <c r="P21" s="86">
        <v>326287.71000000002</v>
      </c>
      <c r="Q21" s="93">
        <v>326300</v>
      </c>
      <c r="R21" s="91">
        <v>278450</v>
      </c>
      <c r="S21" s="91">
        <v>84150</v>
      </c>
      <c r="T21" s="88"/>
      <c r="U21" s="92">
        <f t="shared" si="6"/>
        <v>-36300</v>
      </c>
    </row>
    <row r="22" spans="1:21" x14ac:dyDescent="0.3">
      <c r="A22" s="64">
        <v>333</v>
      </c>
      <c r="B22" s="65">
        <v>0</v>
      </c>
      <c r="C22" s="66">
        <f t="shared" si="0"/>
        <v>0</v>
      </c>
      <c r="D22" s="67">
        <f t="shared" si="7"/>
        <v>0</v>
      </c>
      <c r="E22" s="68">
        <f t="shared" si="1"/>
        <v>0</v>
      </c>
      <c r="F22" s="52"/>
      <c r="G22" s="54">
        <v>0</v>
      </c>
      <c r="H22" s="67"/>
      <c r="I22" s="62">
        <f t="shared" si="2"/>
        <v>0</v>
      </c>
      <c r="J22" s="63">
        <f t="shared" si="3"/>
        <v>0</v>
      </c>
      <c r="K22" s="63">
        <f t="shared" si="4"/>
        <v>0</v>
      </c>
      <c r="L22" s="56">
        <f t="shared" si="5"/>
        <v>0</v>
      </c>
      <c r="M22" s="86">
        <v>9</v>
      </c>
      <c r="N22" s="86">
        <v>250605</v>
      </c>
      <c r="O22" s="86">
        <v>75682.710000000006</v>
      </c>
      <c r="P22" s="86">
        <v>326287.71000000002</v>
      </c>
      <c r="Q22" s="93">
        <v>326300</v>
      </c>
      <c r="R22" s="91">
        <v>278450</v>
      </c>
      <c r="S22" s="91">
        <v>84150</v>
      </c>
      <c r="T22" s="88"/>
      <c r="U22" s="92">
        <f t="shared" si="6"/>
        <v>-36300</v>
      </c>
    </row>
    <row r="23" spans="1:21" x14ac:dyDescent="0.3">
      <c r="A23" s="64">
        <v>334</v>
      </c>
      <c r="B23" s="65">
        <v>2</v>
      </c>
      <c r="C23" s="66">
        <f t="shared" si="0"/>
        <v>36768</v>
      </c>
      <c r="D23" s="67">
        <f t="shared" si="7"/>
        <v>36800</v>
      </c>
      <c r="E23" s="68">
        <f t="shared" si="1"/>
        <v>37200</v>
      </c>
      <c r="F23" s="52"/>
      <c r="G23" s="54">
        <v>3</v>
      </c>
      <c r="H23" s="67">
        <v>3</v>
      </c>
      <c r="I23" s="62">
        <f t="shared" si="2"/>
        <v>55800</v>
      </c>
      <c r="J23" s="63">
        <f t="shared" si="3"/>
        <v>16851.599999999999</v>
      </c>
      <c r="K23" s="63">
        <f t="shared" si="4"/>
        <v>72651.600000000006</v>
      </c>
      <c r="L23" s="56">
        <f t="shared" si="5"/>
        <v>72699.999999999985</v>
      </c>
      <c r="M23" s="86">
        <v>4</v>
      </c>
      <c r="N23" s="86">
        <v>111380</v>
      </c>
      <c r="O23" s="86">
        <v>33636.76</v>
      </c>
      <c r="P23" s="86">
        <v>145016.76</v>
      </c>
      <c r="Q23" s="93">
        <v>145100</v>
      </c>
      <c r="R23" s="91">
        <v>167180</v>
      </c>
      <c r="S23" s="91">
        <v>50620</v>
      </c>
      <c r="T23" s="88">
        <v>8653.2999999999993</v>
      </c>
      <c r="U23" s="92">
        <f t="shared" si="6"/>
        <v>0</v>
      </c>
    </row>
    <row r="24" spans="1:21" x14ac:dyDescent="0.3">
      <c r="A24" s="64">
        <v>336</v>
      </c>
      <c r="B24" s="65">
        <v>4</v>
      </c>
      <c r="C24" s="66">
        <f t="shared" si="0"/>
        <v>73536</v>
      </c>
      <c r="D24" s="67">
        <f t="shared" si="7"/>
        <v>73600</v>
      </c>
      <c r="E24" s="68">
        <f t="shared" si="1"/>
        <v>74400</v>
      </c>
      <c r="F24" s="52"/>
      <c r="G24" s="54">
        <v>6</v>
      </c>
      <c r="H24" s="67">
        <v>4</v>
      </c>
      <c r="I24" s="62">
        <f t="shared" si="2"/>
        <v>74400</v>
      </c>
      <c r="J24" s="63">
        <f t="shared" si="3"/>
        <v>22468.799999999999</v>
      </c>
      <c r="K24" s="63">
        <f t="shared" si="4"/>
        <v>96868.800000000003</v>
      </c>
      <c r="L24" s="56">
        <f t="shared" si="5"/>
        <v>96899.999999999985</v>
      </c>
      <c r="M24" s="86">
        <v>3</v>
      </c>
      <c r="N24" s="86">
        <v>83535</v>
      </c>
      <c r="O24" s="86">
        <v>25227.57</v>
      </c>
      <c r="P24" s="86">
        <v>108762.57</v>
      </c>
      <c r="Q24" s="93">
        <v>108800</v>
      </c>
      <c r="R24" s="91">
        <v>157935</v>
      </c>
      <c r="S24" s="91">
        <v>47865</v>
      </c>
      <c r="T24" s="88">
        <v>7171.6</v>
      </c>
      <c r="U24" s="92">
        <f t="shared" si="6"/>
        <v>-100</v>
      </c>
    </row>
    <row r="25" spans="1:21" x14ac:dyDescent="0.3">
      <c r="A25" s="64">
        <v>337</v>
      </c>
      <c r="B25" s="65">
        <v>2</v>
      </c>
      <c r="C25" s="66">
        <f t="shared" si="0"/>
        <v>36768</v>
      </c>
      <c r="D25" s="67">
        <f t="shared" si="7"/>
        <v>36800</v>
      </c>
      <c r="E25" s="68">
        <f t="shared" si="1"/>
        <v>37200</v>
      </c>
      <c r="F25" s="52"/>
      <c r="G25" s="54">
        <v>2</v>
      </c>
      <c r="H25" s="67">
        <v>2</v>
      </c>
      <c r="I25" s="62">
        <f t="shared" si="2"/>
        <v>37200</v>
      </c>
      <c r="J25" s="63">
        <f t="shared" si="3"/>
        <v>11234.4</v>
      </c>
      <c r="K25" s="63">
        <f t="shared" si="4"/>
        <v>48434.400000000001</v>
      </c>
      <c r="L25" s="56">
        <f t="shared" si="5"/>
        <v>48500</v>
      </c>
      <c r="M25" s="86">
        <v>7</v>
      </c>
      <c r="N25" s="86">
        <v>194915</v>
      </c>
      <c r="O25" s="86">
        <v>58864.33</v>
      </c>
      <c r="P25" s="86">
        <v>253779.33000000002</v>
      </c>
      <c r="Q25" s="93">
        <v>253799.99999999997</v>
      </c>
      <c r="R25" s="91">
        <v>232115</v>
      </c>
      <c r="S25" s="91">
        <v>70285</v>
      </c>
      <c r="T25" s="88">
        <v>5710.62</v>
      </c>
      <c r="U25" s="92">
        <f t="shared" si="6"/>
        <v>-100</v>
      </c>
    </row>
    <row r="26" spans="1:21" x14ac:dyDescent="0.3">
      <c r="A26" s="64">
        <v>338</v>
      </c>
      <c r="B26" s="65">
        <v>4</v>
      </c>
      <c r="C26" s="66">
        <f t="shared" si="0"/>
        <v>73536</v>
      </c>
      <c r="D26" s="67">
        <f t="shared" si="7"/>
        <v>73600</v>
      </c>
      <c r="E26" s="68">
        <f t="shared" si="1"/>
        <v>74400</v>
      </c>
      <c r="F26" s="52"/>
      <c r="G26" s="54">
        <v>4</v>
      </c>
      <c r="H26" s="67">
        <v>5</v>
      </c>
      <c r="I26" s="62">
        <f t="shared" si="2"/>
        <v>93000</v>
      </c>
      <c r="J26" s="63">
        <f t="shared" si="3"/>
        <v>28086</v>
      </c>
      <c r="K26" s="63">
        <f t="shared" si="4"/>
        <v>121086</v>
      </c>
      <c r="L26" s="56">
        <f t="shared" si="5"/>
        <v>121100</v>
      </c>
      <c r="M26" s="86">
        <v>7</v>
      </c>
      <c r="N26" s="86">
        <v>194915</v>
      </c>
      <c r="O26" s="86">
        <v>58864.33</v>
      </c>
      <c r="P26" s="86">
        <v>253779.33000000002</v>
      </c>
      <c r="Q26" s="93">
        <v>253799.99999999997</v>
      </c>
      <c r="R26" s="91">
        <v>287915</v>
      </c>
      <c r="S26" s="91">
        <v>87085</v>
      </c>
      <c r="T26" s="88">
        <v>10009.1</v>
      </c>
      <c r="U26" s="92">
        <f t="shared" si="6"/>
        <v>-100</v>
      </c>
    </row>
    <row r="27" spans="1:21" x14ac:dyDescent="0.3">
      <c r="A27" s="64">
        <v>339</v>
      </c>
      <c r="B27" s="65">
        <v>4</v>
      </c>
      <c r="C27" s="66">
        <f t="shared" si="0"/>
        <v>73536</v>
      </c>
      <c r="D27" s="67">
        <f t="shared" si="7"/>
        <v>73600</v>
      </c>
      <c r="E27" s="68">
        <f t="shared" si="1"/>
        <v>74400</v>
      </c>
      <c r="F27" s="52"/>
      <c r="G27" s="54">
        <v>3</v>
      </c>
      <c r="H27" s="67">
        <v>3</v>
      </c>
      <c r="I27" s="62">
        <f t="shared" si="2"/>
        <v>55800</v>
      </c>
      <c r="J27" s="63">
        <f t="shared" si="3"/>
        <v>16851.599999999999</v>
      </c>
      <c r="K27" s="63">
        <f t="shared" si="4"/>
        <v>72651.600000000006</v>
      </c>
      <c r="L27" s="56">
        <f t="shared" si="5"/>
        <v>72699.999999999985</v>
      </c>
      <c r="M27" s="86">
        <v>10</v>
      </c>
      <c r="N27" s="86">
        <v>278450</v>
      </c>
      <c r="O27" s="86">
        <v>84091.9</v>
      </c>
      <c r="P27" s="86">
        <v>362541.9</v>
      </c>
      <c r="Q27" s="93">
        <v>362600</v>
      </c>
      <c r="R27" s="91">
        <v>362095</v>
      </c>
      <c r="S27" s="91">
        <v>109505</v>
      </c>
      <c r="T27" s="88">
        <v>8598.06</v>
      </c>
      <c r="U27" s="92">
        <f t="shared" si="6"/>
        <v>-36300</v>
      </c>
    </row>
    <row r="28" spans="1:21" x14ac:dyDescent="0.3">
      <c r="A28" s="64">
        <v>340</v>
      </c>
      <c r="B28" s="65">
        <v>2</v>
      </c>
      <c r="C28" s="66">
        <f t="shared" si="0"/>
        <v>36768</v>
      </c>
      <c r="D28" s="67">
        <f t="shared" si="7"/>
        <v>36800</v>
      </c>
      <c r="E28" s="68">
        <f t="shared" si="1"/>
        <v>37200</v>
      </c>
      <c r="F28" s="52"/>
      <c r="G28" s="54">
        <v>0</v>
      </c>
      <c r="H28" s="67"/>
      <c r="I28" s="62">
        <f t="shared" si="2"/>
        <v>0</v>
      </c>
      <c r="J28" s="63">
        <f t="shared" si="3"/>
        <v>0</v>
      </c>
      <c r="K28" s="63">
        <f t="shared" si="4"/>
        <v>0</v>
      </c>
      <c r="L28" s="56">
        <f t="shared" si="5"/>
        <v>0</v>
      </c>
      <c r="M28" s="86">
        <v>4</v>
      </c>
      <c r="N28" s="86">
        <v>111380</v>
      </c>
      <c r="O28" s="86">
        <v>33636.76</v>
      </c>
      <c r="P28" s="86">
        <v>145016.76</v>
      </c>
      <c r="Q28" s="93">
        <v>145100</v>
      </c>
      <c r="R28" s="91">
        <v>111380</v>
      </c>
      <c r="S28" s="91">
        <v>33720</v>
      </c>
      <c r="T28" s="88"/>
      <c r="U28" s="92">
        <f t="shared" si="6"/>
        <v>0</v>
      </c>
    </row>
    <row r="29" spans="1:21" x14ac:dyDescent="0.3">
      <c r="A29" s="64">
        <v>341</v>
      </c>
      <c r="B29" s="65">
        <v>3</v>
      </c>
      <c r="C29" s="66">
        <f t="shared" si="0"/>
        <v>55152</v>
      </c>
      <c r="D29" s="67">
        <f t="shared" si="7"/>
        <v>55200</v>
      </c>
      <c r="E29" s="68">
        <f t="shared" si="1"/>
        <v>55800</v>
      </c>
      <c r="F29" s="52"/>
      <c r="G29" s="54">
        <v>4</v>
      </c>
      <c r="H29" s="67">
        <v>3</v>
      </c>
      <c r="I29" s="62">
        <f t="shared" si="2"/>
        <v>55800</v>
      </c>
      <c r="J29" s="63">
        <f t="shared" si="3"/>
        <v>16851.599999999999</v>
      </c>
      <c r="K29" s="63">
        <f t="shared" si="4"/>
        <v>72651.600000000006</v>
      </c>
      <c r="L29" s="56">
        <f t="shared" si="5"/>
        <v>72699.999999999985</v>
      </c>
      <c r="M29" s="86">
        <v>8</v>
      </c>
      <c r="N29" s="86">
        <v>222760</v>
      </c>
      <c r="O29" s="86">
        <v>67273.52</v>
      </c>
      <c r="P29" s="86">
        <v>290033.52</v>
      </c>
      <c r="Q29" s="93">
        <v>290100</v>
      </c>
      <c r="R29" s="91">
        <v>278560</v>
      </c>
      <c r="S29" s="91">
        <v>84240</v>
      </c>
      <c r="T29" s="88">
        <v>8561.2000000000007</v>
      </c>
      <c r="U29" s="92">
        <f t="shared" si="6"/>
        <v>0</v>
      </c>
    </row>
    <row r="30" spans="1:21" x14ac:dyDescent="0.3">
      <c r="A30" s="64">
        <v>342</v>
      </c>
      <c r="B30" s="65">
        <v>0</v>
      </c>
      <c r="C30" s="66">
        <f t="shared" si="0"/>
        <v>0</v>
      </c>
      <c r="D30" s="67">
        <f t="shared" si="7"/>
        <v>0</v>
      </c>
      <c r="E30" s="68">
        <f t="shared" si="1"/>
        <v>0</v>
      </c>
      <c r="F30" s="52"/>
      <c r="G30" s="54">
        <v>0</v>
      </c>
      <c r="H30" s="67"/>
      <c r="I30" s="62">
        <f t="shared" si="2"/>
        <v>0</v>
      </c>
      <c r="J30" s="63">
        <f t="shared" si="3"/>
        <v>0</v>
      </c>
      <c r="K30" s="63">
        <f t="shared" si="4"/>
        <v>0</v>
      </c>
      <c r="L30" s="56">
        <f t="shared" si="5"/>
        <v>0</v>
      </c>
      <c r="M30" s="86">
        <v>5</v>
      </c>
      <c r="N30" s="86">
        <v>139225</v>
      </c>
      <c r="O30" s="86">
        <v>42045.95</v>
      </c>
      <c r="P30" s="86">
        <v>181270.95</v>
      </c>
      <c r="Q30" s="93">
        <v>181299.99999999997</v>
      </c>
      <c r="R30" s="91">
        <v>139225</v>
      </c>
      <c r="S30" s="91">
        <v>42175</v>
      </c>
      <c r="T30" s="88"/>
      <c r="U30" s="92">
        <f t="shared" si="6"/>
        <v>-100.0000000000291</v>
      </c>
    </row>
    <row r="31" spans="1:21" x14ac:dyDescent="0.3">
      <c r="A31" s="64">
        <v>343</v>
      </c>
      <c r="B31" s="65">
        <v>0</v>
      </c>
      <c r="C31" s="66">
        <f t="shared" si="0"/>
        <v>0</v>
      </c>
      <c r="D31" s="67">
        <f t="shared" si="7"/>
        <v>0</v>
      </c>
      <c r="E31" s="68">
        <f t="shared" si="1"/>
        <v>0</v>
      </c>
      <c r="F31" s="52"/>
      <c r="G31" s="54">
        <v>0</v>
      </c>
      <c r="H31" s="67"/>
      <c r="I31" s="62">
        <f t="shared" si="2"/>
        <v>0</v>
      </c>
      <c r="J31" s="63">
        <f t="shared" si="3"/>
        <v>0</v>
      </c>
      <c r="K31" s="63">
        <f t="shared" si="4"/>
        <v>0</v>
      </c>
      <c r="L31" s="56">
        <f t="shared" si="5"/>
        <v>0</v>
      </c>
      <c r="M31" s="86">
        <v>7</v>
      </c>
      <c r="N31" s="86">
        <v>194915</v>
      </c>
      <c r="O31" s="86">
        <v>58864.33</v>
      </c>
      <c r="P31" s="86">
        <v>253779.33000000002</v>
      </c>
      <c r="Q31" s="93">
        <v>253799.99999999997</v>
      </c>
      <c r="R31" s="91">
        <v>222760</v>
      </c>
      <c r="S31" s="91">
        <v>67340</v>
      </c>
      <c r="T31" s="88"/>
      <c r="U31" s="92">
        <f t="shared" si="6"/>
        <v>-36300.000000000029</v>
      </c>
    </row>
    <row r="32" spans="1:21" x14ac:dyDescent="0.3">
      <c r="A32" s="64">
        <v>344</v>
      </c>
      <c r="B32" s="65">
        <v>2</v>
      </c>
      <c r="C32" s="66">
        <f t="shared" si="0"/>
        <v>36768</v>
      </c>
      <c r="D32" s="67">
        <f t="shared" si="7"/>
        <v>36800</v>
      </c>
      <c r="E32" s="68">
        <f t="shared" si="1"/>
        <v>37200</v>
      </c>
      <c r="F32" s="52"/>
      <c r="G32" s="54">
        <v>4</v>
      </c>
      <c r="H32" s="67">
        <v>4</v>
      </c>
      <c r="I32" s="62">
        <f t="shared" si="2"/>
        <v>74400</v>
      </c>
      <c r="J32" s="63">
        <f t="shared" si="3"/>
        <v>22468.799999999999</v>
      </c>
      <c r="K32" s="63">
        <f t="shared" si="4"/>
        <v>96868.800000000003</v>
      </c>
      <c r="L32" s="56">
        <f t="shared" si="5"/>
        <v>96899.999999999985</v>
      </c>
      <c r="M32" s="86">
        <v>8</v>
      </c>
      <c r="N32" s="86">
        <v>222760</v>
      </c>
      <c r="O32" s="86">
        <v>67273.52</v>
      </c>
      <c r="P32" s="86">
        <v>290033.52</v>
      </c>
      <c r="Q32" s="93">
        <v>290100</v>
      </c>
      <c r="R32" s="91">
        <v>352850</v>
      </c>
      <c r="S32" s="91">
        <v>106650</v>
      </c>
      <c r="T32" s="88">
        <v>11513.3</v>
      </c>
      <c r="U32" s="92">
        <f t="shared" si="6"/>
        <v>-72500</v>
      </c>
    </row>
    <row r="33" spans="1:21" x14ac:dyDescent="0.3">
      <c r="A33" s="64">
        <v>345</v>
      </c>
      <c r="B33" s="65">
        <v>1</v>
      </c>
      <c r="C33" s="66">
        <f t="shared" si="0"/>
        <v>18384</v>
      </c>
      <c r="D33" s="67">
        <f t="shared" si="7"/>
        <v>18400</v>
      </c>
      <c r="E33" s="68">
        <f t="shared" si="1"/>
        <v>18600</v>
      </c>
      <c r="F33" s="52"/>
      <c r="G33" s="54">
        <v>2</v>
      </c>
      <c r="H33" s="67">
        <v>1</v>
      </c>
      <c r="I33" s="62">
        <f t="shared" si="2"/>
        <v>18600</v>
      </c>
      <c r="J33" s="63">
        <f t="shared" si="3"/>
        <v>5617.2</v>
      </c>
      <c r="K33" s="63">
        <f t="shared" si="4"/>
        <v>24217.200000000001</v>
      </c>
      <c r="L33" s="56">
        <f t="shared" si="5"/>
        <v>24300</v>
      </c>
      <c r="M33" s="86">
        <v>5</v>
      </c>
      <c r="N33" s="86">
        <v>139225</v>
      </c>
      <c r="O33" s="86">
        <v>42045.95</v>
      </c>
      <c r="P33" s="86">
        <v>181270.95</v>
      </c>
      <c r="Q33" s="93">
        <v>181299.99999999997</v>
      </c>
      <c r="R33" s="91">
        <v>157825</v>
      </c>
      <c r="S33" s="91">
        <v>47875</v>
      </c>
      <c r="T33" s="88">
        <v>2742.9</v>
      </c>
      <c r="U33" s="92">
        <f t="shared" si="6"/>
        <v>-100.0000000000291</v>
      </c>
    </row>
    <row r="34" spans="1:21" x14ac:dyDescent="0.3">
      <c r="A34" s="64">
        <v>346</v>
      </c>
      <c r="B34" s="65">
        <v>1</v>
      </c>
      <c r="C34" s="66">
        <f t="shared" si="0"/>
        <v>18384</v>
      </c>
      <c r="D34" s="67">
        <f t="shared" si="7"/>
        <v>18400</v>
      </c>
      <c r="E34" s="68">
        <f t="shared" si="1"/>
        <v>18600</v>
      </c>
      <c r="F34" s="52"/>
      <c r="G34" s="54">
        <v>0</v>
      </c>
      <c r="H34" s="67">
        <v>2</v>
      </c>
      <c r="I34" s="62">
        <f t="shared" si="2"/>
        <v>37200</v>
      </c>
      <c r="J34" s="63">
        <f t="shared" si="3"/>
        <v>11234.4</v>
      </c>
      <c r="K34" s="63">
        <f t="shared" si="4"/>
        <v>48434.400000000001</v>
      </c>
      <c r="L34" s="56">
        <f t="shared" si="5"/>
        <v>48500</v>
      </c>
      <c r="M34" s="86">
        <v>9</v>
      </c>
      <c r="N34" s="86">
        <v>250605</v>
      </c>
      <c r="O34" s="86">
        <v>75682.710000000006</v>
      </c>
      <c r="P34" s="86">
        <v>326287.71000000002</v>
      </c>
      <c r="Q34" s="93">
        <v>326300</v>
      </c>
      <c r="R34" s="91">
        <v>287805</v>
      </c>
      <c r="S34" s="91">
        <v>87095</v>
      </c>
      <c r="T34" s="88">
        <v>1450</v>
      </c>
      <c r="U34" s="92">
        <f t="shared" si="6"/>
        <v>-100</v>
      </c>
    </row>
    <row r="35" spans="1:21" x14ac:dyDescent="0.3">
      <c r="A35" s="64">
        <v>347</v>
      </c>
      <c r="B35" s="65">
        <v>1</v>
      </c>
      <c r="C35" s="66">
        <f t="shared" si="0"/>
        <v>18384</v>
      </c>
      <c r="D35" s="67">
        <f t="shared" si="7"/>
        <v>18400</v>
      </c>
      <c r="E35" s="68">
        <f t="shared" si="1"/>
        <v>18600</v>
      </c>
      <c r="F35" s="52"/>
      <c r="G35" s="54">
        <v>0</v>
      </c>
      <c r="H35" s="67">
        <v>0</v>
      </c>
      <c r="I35" s="62">
        <f t="shared" si="2"/>
        <v>0</v>
      </c>
      <c r="J35" s="63">
        <f t="shared" si="3"/>
        <v>0</v>
      </c>
      <c r="K35" s="63">
        <f t="shared" si="4"/>
        <v>0</v>
      </c>
      <c r="L35" s="56">
        <f t="shared" si="5"/>
        <v>0</v>
      </c>
      <c r="M35" s="86">
        <v>8</v>
      </c>
      <c r="N35" s="86">
        <v>222760</v>
      </c>
      <c r="O35" s="86">
        <v>67273.52</v>
      </c>
      <c r="P35" s="86">
        <v>290033.52</v>
      </c>
      <c r="Q35" s="93">
        <v>290100</v>
      </c>
      <c r="R35" s="91">
        <v>222760</v>
      </c>
      <c r="S35" s="91">
        <v>67340</v>
      </c>
      <c r="T35" s="88"/>
      <c r="U35" s="92">
        <f t="shared" si="6"/>
        <v>0</v>
      </c>
    </row>
    <row r="36" spans="1:21" x14ac:dyDescent="0.3">
      <c r="A36" s="64">
        <v>348</v>
      </c>
      <c r="B36" s="65">
        <v>3</v>
      </c>
      <c r="C36" s="66">
        <f t="shared" si="0"/>
        <v>55152</v>
      </c>
      <c r="D36" s="67">
        <f t="shared" si="7"/>
        <v>55200</v>
      </c>
      <c r="E36" s="68">
        <f t="shared" si="1"/>
        <v>55800</v>
      </c>
      <c r="F36" s="52"/>
      <c r="G36" s="54">
        <v>3</v>
      </c>
      <c r="H36" s="67">
        <v>3</v>
      </c>
      <c r="I36" s="62">
        <f t="shared" si="2"/>
        <v>55800</v>
      </c>
      <c r="J36" s="63">
        <f t="shared" si="3"/>
        <v>16851.599999999999</v>
      </c>
      <c r="K36" s="63">
        <f t="shared" si="4"/>
        <v>72651.600000000006</v>
      </c>
      <c r="L36" s="56">
        <f t="shared" si="5"/>
        <v>72699.999999999985</v>
      </c>
      <c r="M36" s="86">
        <v>5</v>
      </c>
      <c r="N36" s="86">
        <v>139225</v>
      </c>
      <c r="O36" s="86">
        <v>42045.95</v>
      </c>
      <c r="P36" s="86">
        <v>181270.95</v>
      </c>
      <c r="Q36" s="93">
        <v>181299.99999999997</v>
      </c>
      <c r="R36" s="91">
        <v>195025</v>
      </c>
      <c r="S36" s="91">
        <v>59075</v>
      </c>
      <c r="T36" s="88">
        <v>8573.7000000000007</v>
      </c>
      <c r="U36" s="92">
        <f t="shared" si="6"/>
        <v>-100.00000000005821</v>
      </c>
    </row>
    <row r="37" spans="1:21" x14ac:dyDescent="0.3">
      <c r="A37" s="64">
        <v>350</v>
      </c>
      <c r="B37" s="65">
        <v>0</v>
      </c>
      <c r="C37" s="66">
        <f t="shared" si="0"/>
        <v>0</v>
      </c>
      <c r="D37" s="67">
        <f t="shared" si="7"/>
        <v>0</v>
      </c>
      <c r="E37" s="68">
        <f t="shared" si="1"/>
        <v>0</v>
      </c>
      <c r="F37" s="52"/>
      <c r="G37" s="54">
        <v>1</v>
      </c>
      <c r="H37" s="67">
        <v>1</v>
      </c>
      <c r="I37" s="62">
        <f t="shared" si="2"/>
        <v>18600</v>
      </c>
      <c r="J37" s="63">
        <f t="shared" si="3"/>
        <v>5617.2</v>
      </c>
      <c r="K37" s="63">
        <f t="shared" si="4"/>
        <v>24217.200000000001</v>
      </c>
      <c r="L37" s="56">
        <f t="shared" si="5"/>
        <v>24300</v>
      </c>
      <c r="M37" s="86">
        <v>7</v>
      </c>
      <c r="N37" s="86">
        <v>194915</v>
      </c>
      <c r="O37" s="86">
        <v>58864.33</v>
      </c>
      <c r="P37" s="86">
        <v>253779.33000000002</v>
      </c>
      <c r="Q37" s="93">
        <v>253799.99999999997</v>
      </c>
      <c r="R37" s="91">
        <v>241360</v>
      </c>
      <c r="S37" s="91">
        <v>73040</v>
      </c>
      <c r="T37" s="88">
        <v>2855</v>
      </c>
      <c r="U37" s="92">
        <f t="shared" si="6"/>
        <v>-36300</v>
      </c>
    </row>
    <row r="38" spans="1:21" x14ac:dyDescent="0.3">
      <c r="A38" s="64">
        <v>458</v>
      </c>
      <c r="B38" s="65">
        <v>0</v>
      </c>
      <c r="C38" s="66">
        <f t="shared" si="0"/>
        <v>0</v>
      </c>
      <c r="D38" s="67">
        <f t="shared" si="7"/>
        <v>0</v>
      </c>
      <c r="E38" s="68">
        <f t="shared" si="1"/>
        <v>0</v>
      </c>
      <c r="F38" s="52"/>
      <c r="G38" s="54">
        <v>2</v>
      </c>
      <c r="H38" s="67">
        <v>2</v>
      </c>
      <c r="I38" s="62">
        <f t="shared" si="2"/>
        <v>37200</v>
      </c>
      <c r="J38" s="63">
        <f t="shared" si="3"/>
        <v>11234.4</v>
      </c>
      <c r="K38" s="63">
        <f t="shared" si="4"/>
        <v>48434.400000000001</v>
      </c>
      <c r="L38" s="56">
        <f t="shared" si="5"/>
        <v>48500</v>
      </c>
      <c r="M38" s="86">
        <v>8</v>
      </c>
      <c r="N38" s="86">
        <v>222760</v>
      </c>
      <c r="O38" s="86">
        <v>67273.52</v>
      </c>
      <c r="P38" s="86">
        <v>290033.52</v>
      </c>
      <c r="Q38" s="93">
        <v>290100</v>
      </c>
      <c r="R38" s="91">
        <v>259960</v>
      </c>
      <c r="S38" s="91">
        <v>78640</v>
      </c>
      <c r="T38" s="88">
        <v>5750</v>
      </c>
      <c r="U38" s="92">
        <f t="shared" si="6"/>
        <v>0</v>
      </c>
    </row>
    <row r="39" spans="1:21" x14ac:dyDescent="0.3">
      <c r="A39" s="64">
        <v>497</v>
      </c>
      <c r="B39" s="65">
        <v>0</v>
      </c>
      <c r="C39" s="66">
        <f t="shared" si="0"/>
        <v>0</v>
      </c>
      <c r="D39" s="67">
        <f t="shared" si="7"/>
        <v>0</v>
      </c>
      <c r="E39" s="68">
        <f t="shared" si="1"/>
        <v>0</v>
      </c>
      <c r="F39" s="52"/>
      <c r="G39" s="54">
        <v>2</v>
      </c>
      <c r="H39" s="67">
        <v>2</v>
      </c>
      <c r="I39" s="62">
        <f t="shared" si="2"/>
        <v>37200</v>
      </c>
      <c r="J39" s="63">
        <f t="shared" si="3"/>
        <v>11234.4</v>
      </c>
      <c r="K39" s="63">
        <f t="shared" si="4"/>
        <v>48434.400000000001</v>
      </c>
      <c r="L39" s="56">
        <f t="shared" si="5"/>
        <v>48500</v>
      </c>
      <c r="M39" s="86">
        <v>1</v>
      </c>
      <c r="N39" s="86">
        <v>27845</v>
      </c>
      <c r="O39" s="86">
        <v>8409.19</v>
      </c>
      <c r="P39" s="86">
        <v>36254.19</v>
      </c>
      <c r="Q39" s="93">
        <v>36300.000000000007</v>
      </c>
      <c r="R39" s="91">
        <v>92890</v>
      </c>
      <c r="S39" s="91">
        <v>28210</v>
      </c>
      <c r="T39" s="88">
        <v>5722.5</v>
      </c>
      <c r="U39" s="92">
        <f t="shared" si="6"/>
        <v>-36300</v>
      </c>
    </row>
    <row r="40" spans="1:21" x14ac:dyDescent="0.3">
      <c r="A40" s="64">
        <v>498</v>
      </c>
      <c r="B40" s="65">
        <v>4</v>
      </c>
      <c r="C40" s="66">
        <f t="shared" si="0"/>
        <v>73536</v>
      </c>
      <c r="D40" s="67">
        <f t="shared" si="7"/>
        <v>73600</v>
      </c>
      <c r="E40" s="68">
        <f t="shared" si="1"/>
        <v>74400</v>
      </c>
      <c r="F40" s="52"/>
      <c r="G40" s="54">
        <v>1</v>
      </c>
      <c r="H40" s="67">
        <v>2</v>
      </c>
      <c r="I40" s="62">
        <f t="shared" si="2"/>
        <v>37200</v>
      </c>
      <c r="J40" s="63">
        <f t="shared" si="3"/>
        <v>11234.4</v>
      </c>
      <c r="K40" s="63">
        <f t="shared" si="4"/>
        <v>48434.400000000001</v>
      </c>
      <c r="L40" s="56">
        <f t="shared" si="5"/>
        <v>48500</v>
      </c>
      <c r="M40" s="86">
        <v>9</v>
      </c>
      <c r="N40" s="86">
        <v>250605</v>
      </c>
      <c r="O40" s="86">
        <v>75682.710000000006</v>
      </c>
      <c r="P40" s="86">
        <v>326287.71000000002</v>
      </c>
      <c r="Q40" s="93">
        <v>326300</v>
      </c>
      <c r="R40" s="91">
        <v>315650</v>
      </c>
      <c r="S40" s="91">
        <v>95450</v>
      </c>
      <c r="T40" s="88"/>
      <c r="U40" s="92">
        <f t="shared" si="6"/>
        <v>-36300</v>
      </c>
    </row>
    <row r="41" spans="1:21" x14ac:dyDescent="0.3">
      <c r="A41" s="64">
        <v>512</v>
      </c>
      <c r="B41" s="65">
        <v>1</v>
      </c>
      <c r="C41" s="66">
        <f t="shared" si="0"/>
        <v>18384</v>
      </c>
      <c r="D41" s="67">
        <f t="shared" si="7"/>
        <v>18400</v>
      </c>
      <c r="E41" s="68">
        <f t="shared" si="1"/>
        <v>18600</v>
      </c>
      <c r="F41" s="52"/>
      <c r="G41" s="54">
        <v>1</v>
      </c>
      <c r="H41" s="67">
        <v>1</v>
      </c>
      <c r="I41" s="62">
        <f t="shared" si="2"/>
        <v>18600</v>
      </c>
      <c r="J41" s="63">
        <f t="shared" si="3"/>
        <v>5617.2</v>
      </c>
      <c r="K41" s="63">
        <f t="shared" si="4"/>
        <v>24217.200000000001</v>
      </c>
      <c r="L41" s="56">
        <f t="shared" si="5"/>
        <v>24300</v>
      </c>
      <c r="M41" s="86">
        <v>4</v>
      </c>
      <c r="N41" s="86">
        <v>111380</v>
      </c>
      <c r="O41" s="86">
        <v>33636.76</v>
      </c>
      <c r="P41" s="86">
        <v>145016.76</v>
      </c>
      <c r="Q41" s="93">
        <v>145100</v>
      </c>
      <c r="R41" s="91">
        <v>157825</v>
      </c>
      <c r="S41" s="91">
        <v>47875</v>
      </c>
      <c r="T41" s="88">
        <v>2882.5</v>
      </c>
      <c r="U41" s="92">
        <f t="shared" si="6"/>
        <v>-36300</v>
      </c>
    </row>
    <row r="42" spans="1:21" x14ac:dyDescent="0.3">
      <c r="A42" s="64">
        <v>513</v>
      </c>
      <c r="B42" s="65">
        <v>7</v>
      </c>
      <c r="C42" s="66">
        <f t="shared" si="0"/>
        <v>128688</v>
      </c>
      <c r="D42" s="67">
        <f t="shared" si="7"/>
        <v>128700</v>
      </c>
      <c r="E42" s="68">
        <f t="shared" si="1"/>
        <v>130200</v>
      </c>
      <c r="F42" s="52"/>
      <c r="G42" s="54">
        <v>8</v>
      </c>
      <c r="H42" s="67">
        <v>8</v>
      </c>
      <c r="I42" s="62">
        <f t="shared" si="2"/>
        <v>148800</v>
      </c>
      <c r="J42" s="63">
        <f t="shared" si="3"/>
        <v>44937.599999999999</v>
      </c>
      <c r="K42" s="63">
        <f t="shared" si="4"/>
        <v>193737.60000000001</v>
      </c>
      <c r="L42" s="56">
        <f t="shared" si="5"/>
        <v>193799.99999999997</v>
      </c>
      <c r="M42" s="86">
        <v>10</v>
      </c>
      <c r="N42" s="86">
        <v>278450</v>
      </c>
      <c r="O42" s="86">
        <v>84091.9</v>
      </c>
      <c r="P42" s="86">
        <v>362541.9</v>
      </c>
      <c r="Q42" s="93">
        <v>362600</v>
      </c>
      <c r="R42" s="91">
        <v>482940</v>
      </c>
      <c r="S42" s="91">
        <v>145060</v>
      </c>
      <c r="T42" s="88">
        <v>23075.3</v>
      </c>
      <c r="U42" s="92">
        <f t="shared" si="6"/>
        <v>-71600</v>
      </c>
    </row>
    <row r="43" spans="1:21" x14ac:dyDescent="0.3">
      <c r="A43" s="64">
        <v>516</v>
      </c>
      <c r="B43" s="65">
        <v>3</v>
      </c>
      <c r="C43" s="66">
        <f t="shared" si="0"/>
        <v>55152</v>
      </c>
      <c r="D43" s="67">
        <f t="shared" si="7"/>
        <v>55200</v>
      </c>
      <c r="E43" s="68">
        <f t="shared" si="1"/>
        <v>55800</v>
      </c>
      <c r="F43" s="52"/>
      <c r="G43" s="54">
        <v>2</v>
      </c>
      <c r="H43" s="67">
        <v>4</v>
      </c>
      <c r="I43" s="62">
        <f t="shared" si="2"/>
        <v>74400</v>
      </c>
      <c r="J43" s="63">
        <f t="shared" si="3"/>
        <v>22468.799999999999</v>
      </c>
      <c r="K43" s="63">
        <f t="shared" si="4"/>
        <v>96868.800000000003</v>
      </c>
      <c r="L43" s="56">
        <f t="shared" si="5"/>
        <v>96899.999999999985</v>
      </c>
      <c r="M43" s="86">
        <v>5</v>
      </c>
      <c r="N43" s="86">
        <v>139225</v>
      </c>
      <c r="O43" s="86">
        <v>42045.95</v>
      </c>
      <c r="P43" s="86">
        <v>181270.95</v>
      </c>
      <c r="Q43" s="93">
        <v>181299.99999999997</v>
      </c>
      <c r="R43" s="91">
        <v>213625</v>
      </c>
      <c r="S43" s="91">
        <v>64675</v>
      </c>
      <c r="T43" s="88">
        <v>11508.3</v>
      </c>
      <c r="U43" s="92">
        <f t="shared" si="6"/>
        <v>-100.00000000005821</v>
      </c>
    </row>
    <row r="44" spans="1:21" x14ac:dyDescent="0.3">
      <c r="A44" s="64">
        <v>527</v>
      </c>
      <c r="B44" s="65">
        <v>1</v>
      </c>
      <c r="C44" s="66">
        <f t="shared" si="0"/>
        <v>18384</v>
      </c>
      <c r="D44" s="67">
        <f t="shared" si="7"/>
        <v>18400</v>
      </c>
      <c r="E44" s="68">
        <f t="shared" si="1"/>
        <v>18600</v>
      </c>
      <c r="F44" s="52"/>
      <c r="G44" s="54">
        <v>0</v>
      </c>
      <c r="H44" s="67"/>
      <c r="I44" s="62">
        <f t="shared" si="2"/>
        <v>0</v>
      </c>
      <c r="J44" s="63">
        <f t="shared" si="3"/>
        <v>0</v>
      </c>
      <c r="K44" s="63">
        <f t="shared" si="4"/>
        <v>0</v>
      </c>
      <c r="L44" s="56">
        <f t="shared" si="5"/>
        <v>0</v>
      </c>
      <c r="M44" s="86">
        <v>6</v>
      </c>
      <c r="N44" s="86">
        <v>167070</v>
      </c>
      <c r="O44" s="86">
        <v>50455.14</v>
      </c>
      <c r="P44" s="86">
        <v>217525.14</v>
      </c>
      <c r="Q44" s="93">
        <v>217600</v>
      </c>
      <c r="R44" s="91">
        <v>167070</v>
      </c>
      <c r="S44" s="91">
        <v>50530</v>
      </c>
      <c r="T44" s="88"/>
      <c r="U44" s="92">
        <f t="shared" si="6"/>
        <v>0</v>
      </c>
    </row>
    <row r="45" spans="1:21" x14ac:dyDescent="0.3">
      <c r="A45" s="64">
        <v>528</v>
      </c>
      <c r="B45" s="65">
        <v>1</v>
      </c>
      <c r="C45" s="66">
        <f t="shared" si="0"/>
        <v>18384</v>
      </c>
      <c r="D45" s="67">
        <f t="shared" si="7"/>
        <v>18400</v>
      </c>
      <c r="E45" s="68">
        <f t="shared" si="1"/>
        <v>18600</v>
      </c>
      <c r="F45" s="52"/>
      <c r="G45" s="54">
        <v>1</v>
      </c>
      <c r="H45" s="67">
        <v>1</v>
      </c>
      <c r="I45" s="62">
        <f t="shared" si="2"/>
        <v>18600</v>
      </c>
      <c r="J45" s="63">
        <f t="shared" si="3"/>
        <v>5617.2</v>
      </c>
      <c r="K45" s="63">
        <f t="shared" si="4"/>
        <v>24217.200000000001</v>
      </c>
      <c r="L45" s="56">
        <f t="shared" si="5"/>
        <v>24300</v>
      </c>
      <c r="M45" s="86">
        <v>12</v>
      </c>
      <c r="N45" s="86">
        <v>334140</v>
      </c>
      <c r="O45" s="86">
        <v>100910.28</v>
      </c>
      <c r="P45" s="86">
        <v>435050.28</v>
      </c>
      <c r="Q45" s="93">
        <v>435100</v>
      </c>
      <c r="R45" s="91">
        <v>380585</v>
      </c>
      <c r="S45" s="91">
        <v>115115</v>
      </c>
      <c r="T45" s="88">
        <v>2900</v>
      </c>
      <c r="U45" s="92">
        <f t="shared" si="6"/>
        <v>-36300</v>
      </c>
    </row>
    <row r="46" spans="1:21" x14ac:dyDescent="0.3">
      <c r="A46" s="64">
        <v>557</v>
      </c>
      <c r="B46" s="65">
        <v>1</v>
      </c>
      <c r="C46" s="66">
        <f t="shared" si="0"/>
        <v>18384</v>
      </c>
      <c r="D46" s="67">
        <f t="shared" si="7"/>
        <v>18400</v>
      </c>
      <c r="E46" s="68">
        <f t="shared" si="1"/>
        <v>18600</v>
      </c>
      <c r="F46" s="52"/>
      <c r="G46" s="54">
        <v>2</v>
      </c>
      <c r="H46" s="67">
        <v>2</v>
      </c>
      <c r="I46" s="62">
        <f t="shared" si="2"/>
        <v>37200</v>
      </c>
      <c r="J46" s="63">
        <f t="shared" si="3"/>
        <v>11234.4</v>
      </c>
      <c r="K46" s="63">
        <f t="shared" si="4"/>
        <v>48434.400000000001</v>
      </c>
      <c r="L46" s="56">
        <f t="shared" si="5"/>
        <v>48500</v>
      </c>
      <c r="M46" s="86">
        <v>7</v>
      </c>
      <c r="N46" s="86">
        <v>194915</v>
      </c>
      <c r="O46" s="86">
        <v>58864.33</v>
      </c>
      <c r="P46" s="86">
        <v>253779.33000000002</v>
      </c>
      <c r="Q46" s="93">
        <v>253799.99999999997</v>
      </c>
      <c r="R46" s="91">
        <v>259960</v>
      </c>
      <c r="S46" s="91">
        <v>78640</v>
      </c>
      <c r="T46" s="88">
        <v>5720.4</v>
      </c>
      <c r="U46" s="92">
        <f t="shared" si="6"/>
        <v>-36300</v>
      </c>
    </row>
    <row r="47" spans="1:21" x14ac:dyDescent="0.3">
      <c r="A47" s="64">
        <v>569</v>
      </c>
      <c r="B47" s="65">
        <v>3</v>
      </c>
      <c r="C47" s="66">
        <f t="shared" si="0"/>
        <v>55152</v>
      </c>
      <c r="D47" s="67">
        <f t="shared" si="7"/>
        <v>55200</v>
      </c>
      <c r="E47" s="68">
        <f t="shared" si="1"/>
        <v>55800</v>
      </c>
      <c r="F47" s="52"/>
      <c r="G47" s="54">
        <v>3</v>
      </c>
      <c r="H47" s="67">
        <v>3</v>
      </c>
      <c r="I47" s="62">
        <f t="shared" si="2"/>
        <v>55800</v>
      </c>
      <c r="J47" s="63">
        <f t="shared" si="3"/>
        <v>16851.599999999999</v>
      </c>
      <c r="K47" s="63">
        <f t="shared" si="4"/>
        <v>72651.600000000006</v>
      </c>
      <c r="L47" s="56">
        <f t="shared" si="5"/>
        <v>72699.999999999985</v>
      </c>
      <c r="M47" s="86">
        <v>10</v>
      </c>
      <c r="N47" s="86">
        <v>278450</v>
      </c>
      <c r="O47" s="86">
        <v>84091.9</v>
      </c>
      <c r="P47" s="86">
        <v>362541.9</v>
      </c>
      <c r="Q47" s="93">
        <v>362600</v>
      </c>
      <c r="R47" s="91">
        <v>362095</v>
      </c>
      <c r="S47" s="91">
        <v>109505</v>
      </c>
      <c r="T47" s="88">
        <v>7106.2</v>
      </c>
      <c r="U47" s="92">
        <f t="shared" si="6"/>
        <v>-36300</v>
      </c>
    </row>
    <row r="48" spans="1:21" x14ac:dyDescent="0.3">
      <c r="A48" s="64">
        <v>570</v>
      </c>
      <c r="B48" s="65">
        <v>4</v>
      </c>
      <c r="C48" s="66">
        <f t="shared" si="0"/>
        <v>73536</v>
      </c>
      <c r="D48" s="67">
        <f t="shared" si="7"/>
        <v>73600</v>
      </c>
      <c r="E48" s="68">
        <f t="shared" si="1"/>
        <v>74400</v>
      </c>
      <c r="F48" s="52"/>
      <c r="G48" s="54">
        <v>2</v>
      </c>
      <c r="H48" s="67">
        <v>3</v>
      </c>
      <c r="I48" s="62">
        <f t="shared" si="2"/>
        <v>55800</v>
      </c>
      <c r="J48" s="63">
        <f t="shared" si="3"/>
        <v>16851.599999999999</v>
      </c>
      <c r="K48" s="63">
        <f t="shared" si="4"/>
        <v>72651.600000000006</v>
      </c>
      <c r="L48" s="56">
        <f t="shared" si="5"/>
        <v>72699.999999999985</v>
      </c>
      <c r="M48" s="86">
        <v>9</v>
      </c>
      <c r="N48" s="86">
        <v>250605</v>
      </c>
      <c r="O48" s="86">
        <v>75682.710000000006</v>
      </c>
      <c r="P48" s="86">
        <v>326287.71000000002</v>
      </c>
      <c r="Q48" s="93">
        <v>326300</v>
      </c>
      <c r="R48" s="91">
        <v>306405</v>
      </c>
      <c r="S48" s="91">
        <v>92695</v>
      </c>
      <c r="T48" s="88">
        <v>8700</v>
      </c>
      <c r="U48" s="92">
        <f t="shared" si="6"/>
        <v>-100</v>
      </c>
    </row>
    <row r="49" spans="1:21" x14ac:dyDescent="0.3">
      <c r="A49" s="64">
        <v>571</v>
      </c>
      <c r="B49" s="65">
        <v>0</v>
      </c>
      <c r="C49" s="66">
        <f t="shared" si="0"/>
        <v>0</v>
      </c>
      <c r="D49" s="67">
        <f t="shared" si="7"/>
        <v>0</v>
      </c>
      <c r="E49" s="68">
        <f t="shared" si="1"/>
        <v>0</v>
      </c>
      <c r="F49" s="52"/>
      <c r="G49" s="54">
        <v>0</v>
      </c>
      <c r="H49" s="67">
        <v>0</v>
      </c>
      <c r="I49" s="62">
        <f t="shared" si="2"/>
        <v>0</v>
      </c>
      <c r="J49" s="63">
        <f t="shared" si="3"/>
        <v>0</v>
      </c>
      <c r="K49" s="63">
        <f t="shared" si="4"/>
        <v>0</v>
      </c>
      <c r="L49" s="56">
        <f t="shared" si="5"/>
        <v>0</v>
      </c>
      <c r="M49" s="86">
        <v>10</v>
      </c>
      <c r="N49" s="86">
        <v>278450</v>
      </c>
      <c r="O49" s="86">
        <v>84091.9</v>
      </c>
      <c r="P49" s="86">
        <v>362541.9</v>
      </c>
      <c r="Q49" s="93">
        <v>362600</v>
      </c>
      <c r="R49" s="91">
        <v>306295</v>
      </c>
      <c r="S49" s="91">
        <v>92605</v>
      </c>
      <c r="T49" s="88"/>
      <c r="U49" s="92">
        <f t="shared" si="6"/>
        <v>-36300</v>
      </c>
    </row>
    <row r="50" spans="1:21" x14ac:dyDescent="0.3">
      <c r="A50" s="64">
        <v>572</v>
      </c>
      <c r="B50" s="65">
        <v>2</v>
      </c>
      <c r="C50" s="66">
        <f t="shared" si="0"/>
        <v>36768</v>
      </c>
      <c r="D50" s="67">
        <f t="shared" si="7"/>
        <v>36800</v>
      </c>
      <c r="E50" s="68">
        <f t="shared" si="1"/>
        <v>37200</v>
      </c>
      <c r="F50" s="52"/>
      <c r="G50" s="54">
        <v>3</v>
      </c>
      <c r="H50" s="67">
        <v>3</v>
      </c>
      <c r="I50" s="62">
        <f t="shared" si="2"/>
        <v>55800</v>
      </c>
      <c r="J50" s="63">
        <f t="shared" si="3"/>
        <v>16851.599999999999</v>
      </c>
      <c r="K50" s="63">
        <f t="shared" si="4"/>
        <v>72651.600000000006</v>
      </c>
      <c r="L50" s="56">
        <f t="shared" si="5"/>
        <v>72699.999999999985</v>
      </c>
      <c r="M50" s="86">
        <v>7</v>
      </c>
      <c r="N50" s="86">
        <v>194915</v>
      </c>
      <c r="O50" s="86">
        <v>58864.33</v>
      </c>
      <c r="P50" s="86">
        <v>253779.33000000002</v>
      </c>
      <c r="Q50" s="93">
        <v>253799.99999999997</v>
      </c>
      <c r="R50" s="91">
        <v>250715</v>
      </c>
      <c r="S50" s="91">
        <v>75885</v>
      </c>
      <c r="T50" s="88">
        <v>8593.2999999999993</v>
      </c>
      <c r="U50" s="92">
        <f t="shared" si="6"/>
        <v>-100.00000000005821</v>
      </c>
    </row>
    <row r="51" spans="1:21" x14ac:dyDescent="0.3">
      <c r="A51" s="64">
        <v>574</v>
      </c>
      <c r="B51" s="65">
        <v>3</v>
      </c>
      <c r="C51" s="66">
        <f t="shared" si="0"/>
        <v>55152</v>
      </c>
      <c r="D51" s="67">
        <f t="shared" si="7"/>
        <v>55200</v>
      </c>
      <c r="E51" s="68">
        <f t="shared" si="1"/>
        <v>55800</v>
      </c>
      <c r="F51" s="52"/>
      <c r="G51" s="54">
        <v>3</v>
      </c>
      <c r="H51" s="67">
        <v>2</v>
      </c>
      <c r="I51" s="62">
        <f t="shared" si="2"/>
        <v>37200</v>
      </c>
      <c r="J51" s="63">
        <f t="shared" si="3"/>
        <v>11234.4</v>
      </c>
      <c r="K51" s="63">
        <f t="shared" si="4"/>
        <v>48434.400000000001</v>
      </c>
      <c r="L51" s="56">
        <f t="shared" si="5"/>
        <v>48500</v>
      </c>
      <c r="M51" s="86">
        <v>9</v>
      </c>
      <c r="N51" s="86">
        <v>250605</v>
      </c>
      <c r="O51" s="86">
        <v>75682.710000000006</v>
      </c>
      <c r="P51" s="86">
        <v>326287.71000000002</v>
      </c>
      <c r="Q51" s="93">
        <v>326300</v>
      </c>
      <c r="R51" s="91">
        <v>287805</v>
      </c>
      <c r="S51" s="91">
        <v>87095</v>
      </c>
      <c r="T51" s="88">
        <v>5663.7</v>
      </c>
      <c r="U51" s="92">
        <f t="shared" si="6"/>
        <v>-100</v>
      </c>
    </row>
    <row r="52" spans="1:21" x14ac:dyDescent="0.3">
      <c r="A52" s="64">
        <v>591</v>
      </c>
      <c r="B52" s="65">
        <v>1</v>
      </c>
      <c r="C52" s="66">
        <f t="shared" si="0"/>
        <v>18384</v>
      </c>
      <c r="D52" s="67">
        <f t="shared" si="7"/>
        <v>18400</v>
      </c>
      <c r="E52" s="68">
        <f t="shared" si="1"/>
        <v>18600</v>
      </c>
      <c r="F52" s="52"/>
      <c r="G52" s="54">
        <v>0</v>
      </c>
      <c r="H52" s="67">
        <v>1</v>
      </c>
      <c r="I52" s="62">
        <f t="shared" si="2"/>
        <v>18600</v>
      </c>
      <c r="J52" s="63">
        <f t="shared" si="3"/>
        <v>5617.2</v>
      </c>
      <c r="K52" s="63">
        <f t="shared" si="4"/>
        <v>24217.200000000001</v>
      </c>
      <c r="L52" s="56">
        <f t="shared" si="5"/>
        <v>24300</v>
      </c>
      <c r="M52" s="86">
        <v>6</v>
      </c>
      <c r="N52" s="86">
        <v>167070</v>
      </c>
      <c r="O52" s="86">
        <v>50455.14</v>
      </c>
      <c r="P52" s="86">
        <v>217525.14</v>
      </c>
      <c r="Q52" s="93">
        <v>217600</v>
      </c>
      <c r="R52" s="91">
        <v>185670</v>
      </c>
      <c r="S52" s="91">
        <v>56230</v>
      </c>
      <c r="T52" s="88"/>
      <c r="U52" s="92">
        <f t="shared" si="6"/>
        <v>0</v>
      </c>
    </row>
    <row r="53" spans="1:21" x14ac:dyDescent="0.3">
      <c r="A53" s="64">
        <v>592</v>
      </c>
      <c r="B53" s="65">
        <v>1</v>
      </c>
      <c r="C53" s="66">
        <f t="shared" si="0"/>
        <v>18384</v>
      </c>
      <c r="D53" s="67">
        <f t="shared" si="7"/>
        <v>18400</v>
      </c>
      <c r="E53" s="68">
        <f t="shared" si="1"/>
        <v>18600</v>
      </c>
      <c r="F53" s="52"/>
      <c r="G53" s="54">
        <v>1</v>
      </c>
      <c r="H53" s="67">
        <v>1</v>
      </c>
      <c r="I53" s="62">
        <f t="shared" si="2"/>
        <v>18600</v>
      </c>
      <c r="J53" s="63">
        <f t="shared" si="3"/>
        <v>5617.2</v>
      </c>
      <c r="K53" s="63">
        <f t="shared" si="4"/>
        <v>24217.200000000001</v>
      </c>
      <c r="L53" s="56">
        <f t="shared" si="5"/>
        <v>24300</v>
      </c>
      <c r="M53" s="86">
        <v>4</v>
      </c>
      <c r="N53" s="86">
        <v>111380</v>
      </c>
      <c r="O53" s="86">
        <v>33636.76</v>
      </c>
      <c r="P53" s="86">
        <v>145016.76</v>
      </c>
      <c r="Q53" s="93">
        <v>145100</v>
      </c>
      <c r="R53" s="91">
        <v>129980</v>
      </c>
      <c r="S53" s="91">
        <v>39420</v>
      </c>
      <c r="T53" s="88">
        <v>2837.9</v>
      </c>
      <c r="U53" s="92">
        <f t="shared" si="6"/>
        <v>0</v>
      </c>
    </row>
    <row r="54" spans="1:21" x14ac:dyDescent="0.3">
      <c r="A54" s="64">
        <v>593</v>
      </c>
      <c r="B54" s="65">
        <v>3</v>
      </c>
      <c r="C54" s="66">
        <f t="shared" si="0"/>
        <v>55152</v>
      </c>
      <c r="D54" s="67">
        <f t="shared" si="7"/>
        <v>55200</v>
      </c>
      <c r="E54" s="68">
        <f t="shared" si="1"/>
        <v>55800</v>
      </c>
      <c r="F54" s="52"/>
      <c r="G54" s="54">
        <v>2</v>
      </c>
      <c r="H54" s="67">
        <v>2</v>
      </c>
      <c r="I54" s="62">
        <f t="shared" si="2"/>
        <v>37200</v>
      </c>
      <c r="J54" s="63">
        <f t="shared" si="3"/>
        <v>11234.4</v>
      </c>
      <c r="K54" s="63">
        <f t="shared" si="4"/>
        <v>48434.400000000001</v>
      </c>
      <c r="L54" s="56">
        <f t="shared" si="5"/>
        <v>48500</v>
      </c>
      <c r="M54" s="86">
        <v>7</v>
      </c>
      <c r="N54" s="86">
        <v>194915</v>
      </c>
      <c r="O54" s="86">
        <v>58864.33</v>
      </c>
      <c r="P54" s="86">
        <v>253779.33000000002</v>
      </c>
      <c r="Q54" s="93">
        <v>253799.99999999997</v>
      </c>
      <c r="R54" s="91">
        <v>259960</v>
      </c>
      <c r="S54" s="91">
        <v>78640</v>
      </c>
      <c r="T54" s="88">
        <v>4278.18</v>
      </c>
      <c r="U54" s="92">
        <f t="shared" si="6"/>
        <v>-36300</v>
      </c>
    </row>
    <row r="55" spans="1:21" x14ac:dyDescent="0.3">
      <c r="A55" s="64">
        <v>625</v>
      </c>
      <c r="B55" s="65">
        <v>0</v>
      </c>
      <c r="C55" s="66">
        <f t="shared" si="0"/>
        <v>0</v>
      </c>
      <c r="D55" s="67">
        <f t="shared" si="7"/>
        <v>0</v>
      </c>
      <c r="E55" s="68">
        <f t="shared" si="1"/>
        <v>0</v>
      </c>
      <c r="F55" s="52"/>
      <c r="G55" s="54"/>
      <c r="H55" s="67">
        <v>2</v>
      </c>
      <c r="I55" s="62">
        <f t="shared" si="2"/>
        <v>37200</v>
      </c>
      <c r="J55" s="63">
        <f t="shared" si="3"/>
        <v>11234.4</v>
      </c>
      <c r="K55" s="63">
        <f t="shared" si="4"/>
        <v>48434.400000000001</v>
      </c>
      <c r="L55" s="56">
        <f t="shared" si="5"/>
        <v>48500</v>
      </c>
      <c r="M55" s="86">
        <v>7</v>
      </c>
      <c r="N55" s="86">
        <v>194915</v>
      </c>
      <c r="O55" s="86">
        <v>58864.33</v>
      </c>
      <c r="P55" s="86">
        <v>253779.33000000002</v>
      </c>
      <c r="Q55" s="93">
        <v>253799.99999999997</v>
      </c>
      <c r="R55" s="91">
        <v>232115</v>
      </c>
      <c r="S55" s="91">
        <v>70285</v>
      </c>
      <c r="T55" s="88">
        <v>5742.51</v>
      </c>
      <c r="U55" s="92">
        <f t="shared" si="6"/>
        <v>-100</v>
      </c>
    </row>
    <row r="56" spans="1:21" x14ac:dyDescent="0.3">
      <c r="A56" s="64">
        <v>627</v>
      </c>
      <c r="B56" s="65">
        <v>4</v>
      </c>
      <c r="C56" s="66">
        <f t="shared" si="0"/>
        <v>73536</v>
      </c>
      <c r="D56" s="67">
        <f t="shared" si="7"/>
        <v>73600</v>
      </c>
      <c r="E56" s="68">
        <f t="shared" si="1"/>
        <v>74400</v>
      </c>
      <c r="F56" s="52"/>
      <c r="G56" s="54"/>
      <c r="H56" s="67">
        <v>6</v>
      </c>
      <c r="I56" s="62">
        <f t="shared" si="2"/>
        <v>111600</v>
      </c>
      <c r="J56" s="63">
        <f t="shared" si="3"/>
        <v>33703.199999999997</v>
      </c>
      <c r="K56" s="63">
        <f t="shared" si="4"/>
        <v>145303.20000000001</v>
      </c>
      <c r="L56" s="56">
        <f t="shared" si="5"/>
        <v>145400</v>
      </c>
      <c r="M56" s="86">
        <v>14</v>
      </c>
      <c r="N56" s="86">
        <v>389830</v>
      </c>
      <c r="O56" s="86">
        <v>117728.66</v>
      </c>
      <c r="P56" s="86">
        <v>507558.66000000003</v>
      </c>
      <c r="Q56" s="93">
        <v>507600</v>
      </c>
      <c r="R56" s="91">
        <v>527503</v>
      </c>
      <c r="S56" s="91">
        <v>159597</v>
      </c>
      <c r="T56" s="88">
        <v>10044.1</v>
      </c>
      <c r="U56" s="92">
        <f t="shared" si="6"/>
        <v>-34100</v>
      </c>
    </row>
    <row r="57" spans="1:21" x14ac:dyDescent="0.3">
      <c r="A57" s="64">
        <v>639</v>
      </c>
      <c r="B57" s="65">
        <v>0</v>
      </c>
      <c r="C57" s="66">
        <f t="shared" si="0"/>
        <v>0</v>
      </c>
      <c r="D57" s="67">
        <f t="shared" si="7"/>
        <v>0</v>
      </c>
      <c r="E57" s="68">
        <f t="shared" si="1"/>
        <v>0</v>
      </c>
      <c r="F57" s="52"/>
      <c r="G57" s="54">
        <v>0</v>
      </c>
      <c r="H57" s="67"/>
      <c r="I57" s="62">
        <f t="shared" si="2"/>
        <v>0</v>
      </c>
      <c r="J57" s="63">
        <f t="shared" si="3"/>
        <v>0</v>
      </c>
      <c r="K57" s="63">
        <f t="shared" si="4"/>
        <v>0</v>
      </c>
      <c r="L57" s="56">
        <f t="shared" si="5"/>
        <v>0</v>
      </c>
      <c r="M57" s="86">
        <v>10</v>
      </c>
      <c r="N57" s="86">
        <v>278450</v>
      </c>
      <c r="O57" s="86">
        <v>84091.9</v>
      </c>
      <c r="P57" s="86">
        <v>362541.9</v>
      </c>
      <c r="Q57" s="93">
        <v>362600</v>
      </c>
      <c r="R57" s="91">
        <v>306295</v>
      </c>
      <c r="S57" s="91">
        <v>92605</v>
      </c>
      <c r="T57" s="88"/>
      <c r="U57" s="92">
        <f t="shared" si="6"/>
        <v>-36300</v>
      </c>
    </row>
    <row r="58" spans="1:21" x14ac:dyDescent="0.3">
      <c r="A58" s="64">
        <v>641</v>
      </c>
      <c r="B58" s="65">
        <v>2</v>
      </c>
      <c r="C58" s="66">
        <f t="shared" si="0"/>
        <v>36768</v>
      </c>
      <c r="D58" s="67">
        <f t="shared" si="7"/>
        <v>36800</v>
      </c>
      <c r="E58" s="68">
        <f t="shared" si="1"/>
        <v>37200</v>
      </c>
      <c r="F58" s="52"/>
      <c r="G58" s="54">
        <v>0</v>
      </c>
      <c r="H58" s="67">
        <v>1</v>
      </c>
      <c r="I58" s="62">
        <f t="shared" si="2"/>
        <v>18600</v>
      </c>
      <c r="J58" s="63">
        <f t="shared" si="3"/>
        <v>5617.2</v>
      </c>
      <c r="K58" s="63">
        <f t="shared" si="4"/>
        <v>24217.200000000001</v>
      </c>
      <c r="L58" s="56">
        <f t="shared" si="5"/>
        <v>24300</v>
      </c>
      <c r="M58" s="86">
        <v>8</v>
      </c>
      <c r="N58" s="86">
        <v>222760</v>
      </c>
      <c r="O58" s="86">
        <v>67273.52</v>
      </c>
      <c r="P58" s="86">
        <v>290033.52</v>
      </c>
      <c r="Q58" s="93">
        <v>290100</v>
      </c>
      <c r="R58" s="91">
        <v>241360</v>
      </c>
      <c r="S58" s="91">
        <v>73040</v>
      </c>
      <c r="T58" s="88">
        <v>2807.9</v>
      </c>
      <c r="U58" s="92">
        <f t="shared" si="6"/>
        <v>0</v>
      </c>
    </row>
    <row r="59" spans="1:21" x14ac:dyDescent="0.3">
      <c r="A59" s="64">
        <v>667</v>
      </c>
      <c r="B59" s="65">
        <v>2</v>
      </c>
      <c r="C59" s="66">
        <f t="shared" si="0"/>
        <v>36768</v>
      </c>
      <c r="D59" s="67">
        <f t="shared" si="7"/>
        <v>36800</v>
      </c>
      <c r="E59" s="68">
        <f t="shared" si="1"/>
        <v>37200</v>
      </c>
      <c r="F59" s="52"/>
      <c r="G59" s="54">
        <v>2</v>
      </c>
      <c r="H59" s="67">
        <v>2</v>
      </c>
      <c r="I59" s="62">
        <f t="shared" si="2"/>
        <v>37200</v>
      </c>
      <c r="J59" s="63">
        <f t="shared" si="3"/>
        <v>11234.4</v>
      </c>
      <c r="K59" s="63">
        <f t="shared" si="4"/>
        <v>48434.400000000001</v>
      </c>
      <c r="L59" s="56">
        <f t="shared" si="5"/>
        <v>48500</v>
      </c>
      <c r="M59" s="86">
        <v>11</v>
      </c>
      <c r="N59" s="86">
        <v>306295</v>
      </c>
      <c r="O59" s="86">
        <v>92501.09</v>
      </c>
      <c r="P59" s="86">
        <v>398796.08999999997</v>
      </c>
      <c r="Q59" s="93">
        <v>398800</v>
      </c>
      <c r="R59" s="91">
        <v>371340</v>
      </c>
      <c r="S59" s="91">
        <v>105460</v>
      </c>
      <c r="T59" s="88">
        <v>5678.3</v>
      </c>
      <c r="U59" s="92">
        <f t="shared" si="6"/>
        <v>-29500</v>
      </c>
    </row>
    <row r="60" spans="1:21" x14ac:dyDescent="0.3">
      <c r="A60" s="64">
        <v>689</v>
      </c>
      <c r="B60" s="65">
        <v>1</v>
      </c>
      <c r="C60" s="66">
        <f t="shared" si="0"/>
        <v>18384</v>
      </c>
      <c r="D60" s="67">
        <f t="shared" si="7"/>
        <v>18400</v>
      </c>
      <c r="E60" s="68">
        <f t="shared" si="1"/>
        <v>18600</v>
      </c>
      <c r="F60" s="52"/>
      <c r="G60" s="54">
        <v>1</v>
      </c>
      <c r="H60" s="67">
        <v>2</v>
      </c>
      <c r="I60" s="62">
        <f t="shared" si="2"/>
        <v>37200</v>
      </c>
      <c r="J60" s="63">
        <f t="shared" si="3"/>
        <v>11234.4</v>
      </c>
      <c r="K60" s="63">
        <f t="shared" si="4"/>
        <v>48434.400000000001</v>
      </c>
      <c r="L60" s="56">
        <f t="shared" si="5"/>
        <v>48500</v>
      </c>
      <c r="M60" s="86">
        <v>4</v>
      </c>
      <c r="N60" s="86">
        <v>111380</v>
      </c>
      <c r="O60" s="86">
        <v>33636.76</v>
      </c>
      <c r="P60" s="86">
        <v>145016.76</v>
      </c>
      <c r="Q60" s="93">
        <v>145100</v>
      </c>
      <c r="R60" s="91">
        <v>148580</v>
      </c>
      <c r="S60" s="91">
        <v>45020</v>
      </c>
      <c r="T60" s="88">
        <v>5720.4</v>
      </c>
      <c r="U60" s="92">
        <f t="shared" si="6"/>
        <v>0</v>
      </c>
    </row>
    <row r="61" spans="1:21" x14ac:dyDescent="0.3">
      <c r="A61" s="64">
        <v>690</v>
      </c>
      <c r="B61" s="65">
        <v>1</v>
      </c>
      <c r="C61" s="66">
        <f t="shared" si="0"/>
        <v>18384</v>
      </c>
      <c r="D61" s="67">
        <f t="shared" si="7"/>
        <v>18400</v>
      </c>
      <c r="E61" s="68">
        <f t="shared" si="1"/>
        <v>18600</v>
      </c>
      <c r="F61" s="52"/>
      <c r="G61" s="54">
        <v>4</v>
      </c>
      <c r="H61" s="67">
        <v>4</v>
      </c>
      <c r="I61" s="62">
        <f t="shared" si="2"/>
        <v>74400</v>
      </c>
      <c r="J61" s="63">
        <f t="shared" si="3"/>
        <v>22468.799999999999</v>
      </c>
      <c r="K61" s="63">
        <f t="shared" si="4"/>
        <v>96868.800000000003</v>
      </c>
      <c r="L61" s="56">
        <f t="shared" si="5"/>
        <v>96899.999999999985</v>
      </c>
      <c r="M61" s="86">
        <v>7</v>
      </c>
      <c r="N61" s="86">
        <v>194915</v>
      </c>
      <c r="O61" s="86">
        <v>58864.33</v>
      </c>
      <c r="P61" s="86">
        <v>253779.33000000002</v>
      </c>
      <c r="Q61" s="93">
        <v>253799.99999999997</v>
      </c>
      <c r="R61" s="91">
        <v>269315</v>
      </c>
      <c r="S61" s="91">
        <v>81485</v>
      </c>
      <c r="T61" s="88">
        <v>11522.9</v>
      </c>
      <c r="U61" s="92">
        <f t="shared" si="6"/>
        <v>-100.00000000005821</v>
      </c>
    </row>
    <row r="62" spans="1:21" x14ac:dyDescent="0.3">
      <c r="A62" s="83" t="s">
        <v>100</v>
      </c>
      <c r="B62" s="65">
        <v>0</v>
      </c>
      <c r="C62" s="66">
        <f t="shared" ref="C62:C76" si="8">B62*$D$4*12</f>
        <v>0</v>
      </c>
      <c r="D62" s="67">
        <f t="shared" ref="D62:D76" si="9">ROUNDUP(C62,-2)</f>
        <v>0</v>
      </c>
      <c r="E62" s="68">
        <f t="shared" ref="E62:E76" si="10">B62*$E$4*12</f>
        <v>0</v>
      </c>
      <c r="F62" s="52"/>
      <c r="G62" s="54">
        <v>0</v>
      </c>
      <c r="H62" s="67">
        <v>0</v>
      </c>
      <c r="I62" s="62">
        <f t="shared" ref="I62:I76" si="11">H62*$E$4*12</f>
        <v>0</v>
      </c>
      <c r="J62" s="63">
        <f t="shared" ref="J62:J76" si="12">ROUND(I62*$J$4,2)</f>
        <v>0</v>
      </c>
      <c r="K62" s="54">
        <f t="shared" ref="K62:K76" si="13">I62+J62</f>
        <v>0</v>
      </c>
      <c r="L62" s="56">
        <f t="shared" ref="L62:L76" si="14">IF(K62&gt;=-99,IF(K62&gt;0,ROUNDUP(K62/1000,1),0),ROUNDDOWN(K62/1000,1))*1000</f>
        <v>0</v>
      </c>
      <c r="M62" s="86">
        <v>0</v>
      </c>
      <c r="N62" s="86">
        <v>0</v>
      </c>
      <c r="O62" s="86">
        <v>0</v>
      </c>
      <c r="P62" s="86">
        <v>0</v>
      </c>
      <c r="Q62" s="93">
        <v>0</v>
      </c>
      <c r="R62" s="91"/>
      <c r="S62" s="91"/>
      <c r="T62" s="88"/>
      <c r="U62" s="92">
        <f t="shared" si="6"/>
        <v>0</v>
      </c>
    </row>
    <row r="63" spans="1:21" x14ac:dyDescent="0.3">
      <c r="A63" s="3" t="s">
        <v>68</v>
      </c>
      <c r="B63" s="65">
        <v>5</v>
      </c>
      <c r="C63" s="66">
        <f t="shared" si="8"/>
        <v>91920</v>
      </c>
      <c r="D63" s="67">
        <f t="shared" si="9"/>
        <v>92000</v>
      </c>
      <c r="E63" s="68">
        <f t="shared" si="10"/>
        <v>93000</v>
      </c>
      <c r="F63" s="52"/>
      <c r="G63" s="54">
        <v>3</v>
      </c>
      <c r="H63" s="67">
        <v>2</v>
      </c>
      <c r="I63" s="62">
        <f t="shared" si="11"/>
        <v>37200</v>
      </c>
      <c r="J63" s="63">
        <f t="shared" si="12"/>
        <v>11234.4</v>
      </c>
      <c r="K63" s="63">
        <f t="shared" si="13"/>
        <v>48434.400000000001</v>
      </c>
      <c r="L63" s="56">
        <f t="shared" si="14"/>
        <v>48500</v>
      </c>
      <c r="M63" s="86">
        <v>5</v>
      </c>
      <c r="N63" s="86">
        <v>139225</v>
      </c>
      <c r="O63" s="86">
        <v>42045.95</v>
      </c>
      <c r="P63" s="86">
        <v>181270.95</v>
      </c>
      <c r="Q63" s="93">
        <v>181299.99999999997</v>
      </c>
      <c r="R63" s="91">
        <v>176425</v>
      </c>
      <c r="S63" s="91">
        <v>53475</v>
      </c>
      <c r="T63" s="88">
        <v>5722</v>
      </c>
      <c r="U63" s="92">
        <f t="shared" si="6"/>
        <v>-100.0000000000291</v>
      </c>
    </row>
    <row r="64" spans="1:21" ht="28.8" x14ac:dyDescent="0.3">
      <c r="A64" s="3" t="s">
        <v>65</v>
      </c>
      <c r="B64" s="65">
        <v>0</v>
      </c>
      <c r="C64" s="66">
        <f t="shared" si="8"/>
        <v>0</v>
      </c>
      <c r="D64" s="67">
        <f t="shared" si="9"/>
        <v>0</v>
      </c>
      <c r="E64" s="68">
        <f t="shared" si="10"/>
        <v>0</v>
      </c>
      <c r="F64" s="52"/>
      <c r="G64" s="54">
        <v>1</v>
      </c>
      <c r="H64" s="67">
        <v>1</v>
      </c>
      <c r="I64" s="62">
        <f t="shared" si="11"/>
        <v>18600</v>
      </c>
      <c r="J64" s="63">
        <f t="shared" si="12"/>
        <v>5617.2</v>
      </c>
      <c r="K64" s="63">
        <f t="shared" si="13"/>
        <v>24217.200000000001</v>
      </c>
      <c r="L64" s="56">
        <f t="shared" si="14"/>
        <v>24300</v>
      </c>
      <c r="M64" s="86">
        <v>9</v>
      </c>
      <c r="N64" s="86">
        <v>250605</v>
      </c>
      <c r="O64" s="86">
        <v>75682.710000000006</v>
      </c>
      <c r="P64" s="86">
        <v>326287.71000000002</v>
      </c>
      <c r="Q64" s="93">
        <v>326300</v>
      </c>
      <c r="R64" s="91">
        <v>297050</v>
      </c>
      <c r="S64" s="91">
        <v>89850</v>
      </c>
      <c r="T64" s="88">
        <v>1442.51</v>
      </c>
      <c r="U64" s="92">
        <f>L64+Q64-R64-S64</f>
        <v>-36300</v>
      </c>
    </row>
    <row r="65" spans="1:21" ht="28.8" x14ac:dyDescent="0.3">
      <c r="A65" s="84" t="s">
        <v>66</v>
      </c>
      <c r="B65" s="65">
        <v>12</v>
      </c>
      <c r="C65" s="66">
        <f t="shared" si="8"/>
        <v>220608</v>
      </c>
      <c r="D65" s="67">
        <f t="shared" si="9"/>
        <v>220700</v>
      </c>
      <c r="E65" s="68">
        <f t="shared" si="10"/>
        <v>223200</v>
      </c>
      <c r="F65" s="52"/>
      <c r="G65" s="54">
        <v>10</v>
      </c>
      <c r="H65" s="67">
        <v>9</v>
      </c>
      <c r="I65" s="62">
        <f t="shared" si="11"/>
        <v>167400</v>
      </c>
      <c r="J65" s="63">
        <f t="shared" si="12"/>
        <v>50554.8</v>
      </c>
      <c r="K65" s="63">
        <f t="shared" si="13"/>
        <v>217954.8</v>
      </c>
      <c r="L65" s="56">
        <f t="shared" si="14"/>
        <v>218000</v>
      </c>
      <c r="M65" s="86">
        <v>11</v>
      </c>
      <c r="N65" s="86">
        <v>306295</v>
      </c>
      <c r="O65" s="86">
        <v>92501.09</v>
      </c>
      <c r="P65" s="86">
        <v>398796.08999999997</v>
      </c>
      <c r="Q65" s="93">
        <v>398800</v>
      </c>
      <c r="R65" s="91">
        <v>501540</v>
      </c>
      <c r="S65" s="91">
        <v>150660</v>
      </c>
      <c r="T65" s="88">
        <v>27550</v>
      </c>
      <c r="U65" s="92">
        <f t="shared" si="6"/>
        <v>-35400</v>
      </c>
    </row>
    <row r="66" spans="1:21" ht="28.8" x14ac:dyDescent="0.3">
      <c r="A66" s="3" t="s">
        <v>64</v>
      </c>
      <c r="B66" s="65">
        <v>7</v>
      </c>
      <c r="C66" s="66">
        <f t="shared" si="8"/>
        <v>128688</v>
      </c>
      <c r="D66" s="67">
        <f t="shared" si="9"/>
        <v>128700</v>
      </c>
      <c r="E66" s="68">
        <f t="shared" si="10"/>
        <v>130200</v>
      </c>
      <c r="F66" s="52"/>
      <c r="G66" s="54">
        <v>5</v>
      </c>
      <c r="H66" s="67">
        <v>7</v>
      </c>
      <c r="I66" s="62">
        <f t="shared" si="11"/>
        <v>130200</v>
      </c>
      <c r="J66" s="63">
        <f t="shared" si="12"/>
        <v>39320.400000000001</v>
      </c>
      <c r="K66" s="63">
        <f t="shared" si="13"/>
        <v>169520.4</v>
      </c>
      <c r="L66" s="56">
        <f t="shared" si="14"/>
        <v>169600</v>
      </c>
      <c r="M66" s="86">
        <v>9</v>
      </c>
      <c r="N66" s="86">
        <v>250605</v>
      </c>
      <c r="O66" s="86">
        <v>75682.710000000006</v>
      </c>
      <c r="P66" s="86">
        <v>326287.71000000002</v>
      </c>
      <c r="Q66" s="93">
        <v>326300</v>
      </c>
      <c r="R66" s="91">
        <v>408650</v>
      </c>
      <c r="S66" s="91">
        <v>123550</v>
      </c>
      <c r="T66" s="88">
        <v>2820.3</v>
      </c>
      <c r="U66" s="92">
        <f t="shared" si="6"/>
        <v>-36300</v>
      </c>
    </row>
    <row r="67" spans="1:21" x14ac:dyDescent="0.3">
      <c r="A67" s="3" t="s">
        <v>67</v>
      </c>
      <c r="B67" s="65">
        <v>2</v>
      </c>
      <c r="C67" s="66">
        <f t="shared" si="8"/>
        <v>36768</v>
      </c>
      <c r="D67" s="67">
        <f t="shared" si="9"/>
        <v>36800</v>
      </c>
      <c r="E67" s="68">
        <f t="shared" si="10"/>
        <v>37200</v>
      </c>
      <c r="F67" s="52"/>
      <c r="G67" s="54">
        <v>2</v>
      </c>
      <c r="H67" s="67">
        <v>2</v>
      </c>
      <c r="I67" s="62">
        <f t="shared" si="11"/>
        <v>37200</v>
      </c>
      <c r="J67" s="63">
        <f t="shared" si="12"/>
        <v>11234.4</v>
      </c>
      <c r="K67" s="63">
        <f t="shared" si="13"/>
        <v>48434.400000000001</v>
      </c>
      <c r="L67" s="56">
        <f t="shared" si="14"/>
        <v>48500</v>
      </c>
      <c r="M67" s="86">
        <v>4</v>
      </c>
      <c r="N67" s="86">
        <v>111380</v>
      </c>
      <c r="O67" s="86">
        <v>33636.76</v>
      </c>
      <c r="P67" s="86">
        <v>145016.76</v>
      </c>
      <c r="Q67" s="93">
        <v>145100</v>
      </c>
      <c r="R67" s="91">
        <v>176425</v>
      </c>
      <c r="S67" s="91">
        <v>53475</v>
      </c>
      <c r="T67" s="88">
        <v>5800</v>
      </c>
      <c r="U67" s="92">
        <f t="shared" si="6"/>
        <v>-36300</v>
      </c>
    </row>
    <row r="68" spans="1:21" x14ac:dyDescent="0.3">
      <c r="A68" s="83" t="s">
        <v>69</v>
      </c>
      <c r="B68" s="65">
        <v>0</v>
      </c>
      <c r="C68" s="66">
        <f t="shared" si="8"/>
        <v>0</v>
      </c>
      <c r="D68" s="67">
        <f t="shared" si="9"/>
        <v>0</v>
      </c>
      <c r="E68" s="68">
        <f t="shared" si="10"/>
        <v>0</v>
      </c>
      <c r="F68" s="52"/>
      <c r="G68" s="54">
        <v>0</v>
      </c>
      <c r="H68" s="67">
        <v>0</v>
      </c>
      <c r="I68" s="62">
        <f t="shared" si="11"/>
        <v>0</v>
      </c>
      <c r="J68" s="63">
        <f t="shared" si="12"/>
        <v>0</v>
      </c>
      <c r="K68" s="63">
        <f t="shared" si="13"/>
        <v>0</v>
      </c>
      <c r="L68" s="56">
        <f t="shared" si="14"/>
        <v>0</v>
      </c>
      <c r="M68" s="86">
        <v>1</v>
      </c>
      <c r="N68" s="86">
        <v>27845</v>
      </c>
      <c r="O68" s="86">
        <v>8409.19</v>
      </c>
      <c r="P68" s="86">
        <v>36254.19</v>
      </c>
      <c r="Q68" s="93">
        <v>36300.000000000007</v>
      </c>
      <c r="R68" s="91">
        <v>55690</v>
      </c>
      <c r="S68" s="91">
        <v>16910</v>
      </c>
      <c r="T68" s="88"/>
      <c r="U68" s="92">
        <f t="shared" si="6"/>
        <v>-36299.999999999993</v>
      </c>
    </row>
    <row r="69" spans="1:21" x14ac:dyDescent="0.3">
      <c r="A69" s="83" t="s">
        <v>71</v>
      </c>
      <c r="B69" s="65">
        <v>2</v>
      </c>
      <c r="C69" s="66">
        <f t="shared" si="8"/>
        <v>36768</v>
      </c>
      <c r="D69" s="67">
        <f t="shared" si="9"/>
        <v>36800</v>
      </c>
      <c r="E69" s="68">
        <f t="shared" si="10"/>
        <v>37200</v>
      </c>
      <c r="F69" s="52"/>
      <c r="G69" s="54">
        <v>1</v>
      </c>
      <c r="H69" s="67">
        <v>2</v>
      </c>
      <c r="I69" s="62">
        <f t="shared" si="11"/>
        <v>37200</v>
      </c>
      <c r="J69" s="63">
        <f t="shared" si="12"/>
        <v>11234.4</v>
      </c>
      <c r="K69" s="63">
        <f t="shared" si="13"/>
        <v>48434.400000000001</v>
      </c>
      <c r="L69" s="56">
        <f t="shared" si="14"/>
        <v>48500</v>
      </c>
      <c r="M69" s="86">
        <v>7</v>
      </c>
      <c r="N69" s="86">
        <v>194915</v>
      </c>
      <c r="O69" s="86">
        <v>58864.33</v>
      </c>
      <c r="P69" s="86">
        <v>253779.33000000002</v>
      </c>
      <c r="Q69" s="93">
        <v>253799.99999999997</v>
      </c>
      <c r="R69" s="91">
        <v>232115</v>
      </c>
      <c r="S69" s="91">
        <v>70285</v>
      </c>
      <c r="T69" s="88">
        <v>377</v>
      </c>
      <c r="U69" s="92">
        <f t="shared" si="6"/>
        <v>-100</v>
      </c>
    </row>
    <row r="70" spans="1:21" x14ac:dyDescent="0.3">
      <c r="A70" s="83" t="s">
        <v>73</v>
      </c>
      <c r="B70" s="65">
        <v>0</v>
      </c>
      <c r="C70" s="66">
        <f t="shared" si="8"/>
        <v>0</v>
      </c>
      <c r="D70" s="67">
        <f t="shared" si="9"/>
        <v>0</v>
      </c>
      <c r="E70" s="68">
        <f t="shared" si="10"/>
        <v>0</v>
      </c>
      <c r="F70" s="52"/>
      <c r="G70" s="54">
        <v>1</v>
      </c>
      <c r="H70" s="67">
        <v>1</v>
      </c>
      <c r="I70" s="62">
        <f t="shared" si="11"/>
        <v>18600</v>
      </c>
      <c r="J70" s="63">
        <f t="shared" si="12"/>
        <v>5617.2</v>
      </c>
      <c r="K70" s="63">
        <f t="shared" si="13"/>
        <v>24217.200000000001</v>
      </c>
      <c r="L70" s="56">
        <f t="shared" si="14"/>
        <v>24300</v>
      </c>
      <c r="M70" s="86">
        <v>1</v>
      </c>
      <c r="N70" s="86">
        <v>27845</v>
      </c>
      <c r="O70" s="86">
        <v>8409.19</v>
      </c>
      <c r="P70" s="86">
        <v>36254.19</v>
      </c>
      <c r="Q70" s="93">
        <v>36300.000000000007</v>
      </c>
      <c r="R70" s="91">
        <v>46445</v>
      </c>
      <c r="S70" s="91">
        <v>14255</v>
      </c>
      <c r="T70" s="88">
        <v>2827.51</v>
      </c>
      <c r="U70" s="92">
        <f t="shared" ref="U70:U76" si="15">L70+Q70-R70-S70</f>
        <v>-99.999999999992724</v>
      </c>
    </row>
    <row r="71" spans="1:21" x14ac:dyDescent="0.3">
      <c r="A71" s="64" t="s">
        <v>119</v>
      </c>
      <c r="B71" s="65">
        <v>0</v>
      </c>
      <c r="C71" s="66">
        <f t="shared" si="8"/>
        <v>0</v>
      </c>
      <c r="D71" s="67">
        <f t="shared" si="9"/>
        <v>0</v>
      </c>
      <c r="E71" s="68">
        <f t="shared" si="10"/>
        <v>0</v>
      </c>
      <c r="F71" s="52"/>
      <c r="G71" s="54">
        <v>0</v>
      </c>
      <c r="H71" s="67">
        <v>0</v>
      </c>
      <c r="I71" s="62">
        <f t="shared" si="11"/>
        <v>0</v>
      </c>
      <c r="J71" s="63">
        <f t="shared" si="12"/>
        <v>0</v>
      </c>
      <c r="K71" s="54">
        <f t="shared" si="13"/>
        <v>0</v>
      </c>
      <c r="L71" s="56">
        <f t="shared" si="14"/>
        <v>0</v>
      </c>
      <c r="M71" s="86">
        <v>4</v>
      </c>
      <c r="N71" s="86">
        <v>111380</v>
      </c>
      <c r="O71" s="86">
        <v>33636.76</v>
      </c>
      <c r="P71" s="86">
        <v>145016.76</v>
      </c>
      <c r="Q71" s="93">
        <v>145100</v>
      </c>
      <c r="R71" s="91">
        <v>139225</v>
      </c>
      <c r="S71" s="91">
        <v>42175</v>
      </c>
      <c r="T71" s="88"/>
      <c r="U71" s="92">
        <f t="shared" si="15"/>
        <v>-36300</v>
      </c>
    </row>
    <row r="72" spans="1:21" x14ac:dyDescent="0.3">
      <c r="A72" s="84" t="s">
        <v>74</v>
      </c>
      <c r="B72" s="65">
        <v>6</v>
      </c>
      <c r="C72" s="66">
        <f t="shared" si="8"/>
        <v>110304</v>
      </c>
      <c r="D72" s="67">
        <f t="shared" si="9"/>
        <v>110400</v>
      </c>
      <c r="E72" s="68">
        <f t="shared" si="10"/>
        <v>111600</v>
      </c>
      <c r="F72" s="52"/>
      <c r="G72" s="67">
        <v>5</v>
      </c>
      <c r="H72" s="67">
        <v>5</v>
      </c>
      <c r="I72" s="62">
        <f t="shared" si="11"/>
        <v>93000</v>
      </c>
      <c r="J72" s="63">
        <f t="shared" si="12"/>
        <v>28086</v>
      </c>
      <c r="K72" s="63">
        <f t="shared" si="13"/>
        <v>121086</v>
      </c>
      <c r="L72" s="56">
        <f t="shared" si="14"/>
        <v>121100</v>
      </c>
      <c r="M72" s="86">
        <v>9</v>
      </c>
      <c r="N72" s="86">
        <v>250605</v>
      </c>
      <c r="O72" s="86">
        <v>75682.710000000006</v>
      </c>
      <c r="P72" s="86">
        <v>326287.71000000002</v>
      </c>
      <c r="Q72" s="93">
        <v>326300</v>
      </c>
      <c r="R72" s="91">
        <v>343605</v>
      </c>
      <c r="S72" s="91">
        <v>103495</v>
      </c>
      <c r="T72" s="88">
        <v>14362.52</v>
      </c>
      <c r="U72" s="92">
        <f t="shared" si="15"/>
        <v>300</v>
      </c>
    </row>
    <row r="73" spans="1:21" x14ac:dyDescent="0.3">
      <c r="A73" s="84" t="s">
        <v>75</v>
      </c>
      <c r="B73" s="65">
        <v>1</v>
      </c>
      <c r="C73" s="66">
        <f t="shared" si="8"/>
        <v>18384</v>
      </c>
      <c r="D73" s="67">
        <f t="shared" si="9"/>
        <v>18400</v>
      </c>
      <c r="E73" s="68">
        <f t="shared" si="10"/>
        <v>18600</v>
      </c>
      <c r="F73" s="52"/>
      <c r="G73" s="67">
        <v>2</v>
      </c>
      <c r="H73" s="67">
        <v>2</v>
      </c>
      <c r="I73" s="62">
        <f t="shared" si="11"/>
        <v>37200</v>
      </c>
      <c r="J73" s="63">
        <f t="shared" si="12"/>
        <v>11234.4</v>
      </c>
      <c r="K73" s="63">
        <f t="shared" si="13"/>
        <v>48434.400000000001</v>
      </c>
      <c r="L73" s="56">
        <f t="shared" si="14"/>
        <v>48500</v>
      </c>
      <c r="M73" s="86">
        <v>9</v>
      </c>
      <c r="N73" s="86">
        <v>250605</v>
      </c>
      <c r="O73" s="86">
        <v>75682.710000000006</v>
      </c>
      <c r="P73" s="86">
        <v>326287.71000000002</v>
      </c>
      <c r="Q73" s="93">
        <v>326300</v>
      </c>
      <c r="R73" s="91">
        <v>315650</v>
      </c>
      <c r="S73" s="91">
        <v>95450</v>
      </c>
      <c r="T73" s="88">
        <v>21646.9</v>
      </c>
      <c r="U73" s="92">
        <f t="shared" si="15"/>
        <v>-36300</v>
      </c>
    </row>
    <row r="74" spans="1:21" x14ac:dyDescent="0.3">
      <c r="A74" s="84" t="s">
        <v>70</v>
      </c>
      <c r="B74" s="65">
        <v>1</v>
      </c>
      <c r="C74" s="66">
        <f t="shared" si="8"/>
        <v>18384</v>
      </c>
      <c r="D74" s="67">
        <f t="shared" si="9"/>
        <v>18400</v>
      </c>
      <c r="E74" s="68">
        <f t="shared" si="10"/>
        <v>18600</v>
      </c>
      <c r="F74" s="52"/>
      <c r="G74" s="67">
        <v>1</v>
      </c>
      <c r="H74" s="67">
        <v>2</v>
      </c>
      <c r="I74" s="62">
        <f t="shared" si="11"/>
        <v>37200</v>
      </c>
      <c r="J74" s="63">
        <f t="shared" si="12"/>
        <v>11234.4</v>
      </c>
      <c r="K74" s="63">
        <f t="shared" si="13"/>
        <v>48434.400000000001</v>
      </c>
      <c r="L74" s="56">
        <f t="shared" si="14"/>
        <v>48500</v>
      </c>
      <c r="M74" s="86">
        <v>1</v>
      </c>
      <c r="N74" s="86">
        <v>27845</v>
      </c>
      <c r="O74" s="86">
        <v>8409.19</v>
      </c>
      <c r="P74" s="86">
        <v>36254.19</v>
      </c>
      <c r="Q74" s="93">
        <v>36300.000000000007</v>
      </c>
      <c r="R74" s="91">
        <v>92890</v>
      </c>
      <c r="S74" s="91">
        <v>28210</v>
      </c>
      <c r="T74" s="88">
        <v>10085.4</v>
      </c>
      <c r="U74" s="92">
        <f t="shared" si="15"/>
        <v>-36300</v>
      </c>
    </row>
    <row r="75" spans="1:21" x14ac:dyDescent="0.3">
      <c r="A75" s="64" t="s">
        <v>72</v>
      </c>
      <c r="B75" s="65">
        <v>1</v>
      </c>
      <c r="C75" s="66">
        <f t="shared" si="8"/>
        <v>18384</v>
      </c>
      <c r="D75" s="67">
        <f t="shared" si="9"/>
        <v>18400</v>
      </c>
      <c r="E75" s="68">
        <f t="shared" si="10"/>
        <v>18600</v>
      </c>
      <c r="F75" s="52"/>
      <c r="G75" s="54">
        <v>0</v>
      </c>
      <c r="H75" s="67">
        <v>0</v>
      </c>
      <c r="I75" s="62">
        <f t="shared" si="11"/>
        <v>0</v>
      </c>
      <c r="J75" s="63">
        <f t="shared" si="12"/>
        <v>0</v>
      </c>
      <c r="K75" s="54">
        <f t="shared" si="13"/>
        <v>0</v>
      </c>
      <c r="L75" s="56">
        <f t="shared" si="14"/>
        <v>0</v>
      </c>
      <c r="M75" s="86">
        <v>4</v>
      </c>
      <c r="N75" s="86">
        <v>111380</v>
      </c>
      <c r="O75" s="86">
        <v>33636.76</v>
      </c>
      <c r="P75" s="86">
        <v>145016.76</v>
      </c>
      <c r="Q75" s="93">
        <v>145100</v>
      </c>
      <c r="R75" s="91">
        <v>111380</v>
      </c>
      <c r="S75" s="91">
        <v>33720</v>
      </c>
      <c r="T75" s="88"/>
      <c r="U75" s="92">
        <f t="shared" si="15"/>
        <v>0</v>
      </c>
    </row>
    <row r="76" spans="1:21" x14ac:dyDescent="0.3">
      <c r="A76" s="64" t="s">
        <v>116</v>
      </c>
      <c r="B76" s="65">
        <v>0</v>
      </c>
      <c r="C76" s="66">
        <f t="shared" si="8"/>
        <v>0</v>
      </c>
      <c r="D76" s="67">
        <f t="shared" si="9"/>
        <v>0</v>
      </c>
      <c r="E76" s="68">
        <f t="shared" si="10"/>
        <v>0</v>
      </c>
      <c r="F76" s="52"/>
      <c r="G76" s="54"/>
      <c r="H76" s="67">
        <v>0</v>
      </c>
      <c r="I76" s="62">
        <f t="shared" si="11"/>
        <v>0</v>
      </c>
      <c r="J76" s="63">
        <f t="shared" si="12"/>
        <v>0</v>
      </c>
      <c r="K76" s="63">
        <f t="shared" si="13"/>
        <v>0</v>
      </c>
      <c r="L76" s="56">
        <f t="shared" si="14"/>
        <v>0</v>
      </c>
      <c r="M76" s="86"/>
      <c r="N76" s="86"/>
      <c r="O76" s="86"/>
      <c r="P76" s="86"/>
      <c r="Q76" s="93"/>
      <c r="R76" s="91"/>
      <c r="S76" s="91"/>
      <c r="T76" s="88"/>
      <c r="U76" s="92">
        <f t="shared" si="15"/>
        <v>0</v>
      </c>
    </row>
    <row r="77" spans="1:21" ht="15" thickBot="1" x14ac:dyDescent="0.35">
      <c r="A77" s="69" t="s">
        <v>91</v>
      </c>
      <c r="B77" s="70">
        <f>SUM(B5:B76)</f>
        <v>146</v>
      </c>
      <c r="C77" s="71">
        <f>SUM(C5:C76)</f>
        <v>2684064</v>
      </c>
      <c r="D77" s="72">
        <f>SUM(D5:D76)</f>
        <v>2686100</v>
      </c>
      <c r="E77" s="73">
        <f>SUM(E5:E76)</f>
        <v>2715600</v>
      </c>
      <c r="F77" s="52"/>
      <c r="G77" s="67">
        <f t="shared" ref="G77:Q77" si="16">SUM(G5:G76)</f>
        <v>136</v>
      </c>
      <c r="H77" s="67">
        <f t="shared" si="16"/>
        <v>154</v>
      </c>
      <c r="I77" s="74">
        <f t="shared" si="16"/>
        <v>2864400</v>
      </c>
      <c r="J77" s="74">
        <f t="shared" si="16"/>
        <v>865048.8</v>
      </c>
      <c r="K77" s="75">
        <f t="shared" si="16"/>
        <v>3729448.8</v>
      </c>
      <c r="L77" s="76">
        <f t="shared" si="16"/>
        <v>3732900</v>
      </c>
      <c r="M77" s="76">
        <f t="shared" si="16"/>
        <v>493</v>
      </c>
      <c r="N77" s="76">
        <f t="shared" si="16"/>
        <v>13727585</v>
      </c>
      <c r="O77" s="76">
        <f t="shared" si="16"/>
        <v>4145730.6699999985</v>
      </c>
      <c r="P77" s="76">
        <f t="shared" si="16"/>
        <v>17873315.670000009</v>
      </c>
      <c r="Q77" s="87">
        <f t="shared" si="16"/>
        <v>17876100</v>
      </c>
      <c r="R77" s="88"/>
      <c r="S77" s="88"/>
      <c r="T77" s="88"/>
    </row>
    <row r="79" spans="1:21" x14ac:dyDescent="0.3">
      <c r="E79" s="77"/>
      <c r="F79" s="78"/>
      <c r="H79" s="79"/>
    </row>
    <row r="80" spans="1:21" x14ac:dyDescent="0.3">
      <c r="H80" s="80"/>
      <c r="L80" s="81"/>
    </row>
  </sheetData>
  <sortState xmlns:xlrd2="http://schemas.microsoft.com/office/spreadsheetml/2017/richdata2" ref="A63:L77">
    <sortCondition ref="A63:A77"/>
  </sortState>
  <mergeCells count="2">
    <mergeCell ref="A2:E2"/>
    <mergeCell ref="H2:J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&amp;L&amp;D&amp;Z&amp;F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AQ84"/>
  <sheetViews>
    <sheetView zoomScale="69" zoomScaleNormal="69" workbookViewId="0">
      <pane xSplit="2" ySplit="3" topLeftCell="AB34" activePane="bottomRight" state="frozen"/>
      <selection activeCell="B44" sqref="A44:XFD44"/>
      <selection pane="topRight" activeCell="B44" sqref="A44:XFD44"/>
      <selection pane="bottomLeft" activeCell="B44" sqref="A44:XFD44"/>
      <selection pane="bottomRight" activeCell="B44" sqref="A44:XFD44"/>
    </sheetView>
  </sheetViews>
  <sheetFormatPr defaultColWidth="8.33203125" defaultRowHeight="13.2" x14ac:dyDescent="0.25"/>
  <cols>
    <col min="1" max="1" width="3.33203125" style="21" customWidth="1"/>
    <col min="2" max="2" width="15.109375" style="129" customWidth="1"/>
    <col min="3" max="3" width="7.5546875" style="6" customWidth="1"/>
    <col min="4" max="4" width="8.5546875" style="118" hidden="1" customWidth="1"/>
    <col min="5" max="5" width="8.5546875" style="118" bestFit="1" customWidth="1"/>
    <col min="6" max="6" width="6.6640625" style="7" hidden="1" customWidth="1"/>
    <col min="7" max="7" width="0" style="118" hidden="1" customWidth="1"/>
    <col min="8" max="8" width="8.44140625" style="118" customWidth="1"/>
    <col min="9" max="9" width="6.44140625" style="7" hidden="1" customWidth="1"/>
    <col min="10" max="10" width="0" style="7" hidden="1" customWidth="1"/>
    <col min="11" max="13" width="8.33203125" style="7"/>
    <col min="14" max="14" width="11.33203125" style="8" hidden="1" customWidth="1"/>
    <col min="15" max="15" width="13.33203125" style="118" hidden="1" customWidth="1"/>
    <col min="16" max="17" width="12.33203125" style="118" hidden="1" customWidth="1"/>
    <col min="18" max="18" width="0" style="118" hidden="1" customWidth="1"/>
    <col min="19" max="19" width="7.44140625" style="118" hidden="1" customWidth="1"/>
    <col min="20" max="20" width="14" style="118" hidden="1" customWidth="1"/>
    <col min="21" max="21" width="12" style="118" hidden="1" customWidth="1"/>
    <col min="22" max="23" width="12.88671875" style="118" hidden="1" customWidth="1"/>
    <col min="24" max="24" width="10.5546875" style="7" hidden="1" customWidth="1"/>
    <col min="25" max="25" width="10.6640625" style="7" hidden="1" customWidth="1"/>
    <col min="26" max="26" width="12.33203125" style="7" hidden="1" customWidth="1"/>
    <col min="27" max="27" width="12.88671875" style="194" bestFit="1" customWidth="1"/>
    <col min="28" max="28" width="11.88671875" style="194" bestFit="1" customWidth="1"/>
    <col min="29" max="29" width="12.88671875" style="8" bestFit="1" customWidth="1"/>
    <col min="30" max="30" width="12.88671875" style="185" bestFit="1" customWidth="1"/>
    <col min="31" max="31" width="8.33203125" style="137" customWidth="1"/>
    <col min="32" max="32" width="9" style="7" bestFit="1" customWidth="1"/>
    <col min="33" max="33" width="10.44140625" style="128" customWidth="1"/>
    <col min="34" max="34" width="13.33203125" style="7" customWidth="1"/>
    <col min="35" max="35" width="11.33203125" style="7" customWidth="1"/>
    <col min="36" max="36" width="8.33203125" style="7"/>
    <col min="37" max="37" width="12.44140625" style="7" customWidth="1"/>
    <col min="38" max="39" width="12.44140625" style="7" bestFit="1" customWidth="1"/>
    <col min="40" max="40" width="11.88671875" style="7" bestFit="1" customWidth="1"/>
    <col min="41" max="41" width="12.44140625" style="7" bestFit="1" customWidth="1"/>
    <col min="42" max="42" width="11.88671875" style="7" customWidth="1"/>
    <col min="43" max="43" width="16.44140625" style="7" customWidth="1"/>
    <col min="44" max="16384" width="8.33203125" style="7"/>
  </cols>
  <sheetData>
    <row r="1" spans="1:43" ht="13.95" customHeight="1" x14ac:dyDescent="0.3">
      <c r="A1" s="96" t="s">
        <v>78</v>
      </c>
      <c r="R1" s="594" t="s">
        <v>79</v>
      </c>
      <c r="S1" s="595"/>
      <c r="T1" s="595"/>
      <c r="U1" s="595"/>
      <c r="V1" s="595"/>
      <c r="W1" s="595"/>
      <c r="AA1" s="597" t="s">
        <v>132</v>
      </c>
      <c r="AB1" s="597"/>
      <c r="AC1" s="598" t="s">
        <v>133</v>
      </c>
      <c r="AM1" s="590" t="s">
        <v>133</v>
      </c>
      <c r="AP1" s="590" t="s">
        <v>133</v>
      </c>
      <c r="AQ1" s="590" t="s">
        <v>141</v>
      </c>
    </row>
    <row r="2" spans="1:43" s="10" customFormat="1" ht="11.4" customHeight="1" x14ac:dyDescent="0.3">
      <c r="A2" s="9"/>
      <c r="B2" s="130"/>
      <c r="C2" s="11"/>
      <c r="G2" s="10" t="s">
        <v>80</v>
      </c>
      <c r="H2" s="10" t="s">
        <v>80</v>
      </c>
      <c r="J2" s="10">
        <f>11138*2.5</f>
        <v>27845</v>
      </c>
      <c r="K2" s="10">
        <f>11138*2.5</f>
        <v>27845</v>
      </c>
      <c r="N2" s="12"/>
      <c r="P2" s="13">
        <v>0.30199999999999999</v>
      </c>
      <c r="T2" s="10">
        <v>262</v>
      </c>
      <c r="U2" s="10">
        <v>262</v>
      </c>
      <c r="V2" s="10">
        <v>262</v>
      </c>
      <c r="AA2" s="596" t="s">
        <v>129</v>
      </c>
      <c r="AB2" s="596"/>
      <c r="AC2" s="599"/>
      <c r="AD2" s="186"/>
      <c r="AE2" s="138"/>
      <c r="AG2" s="144"/>
      <c r="AK2" s="593" t="s">
        <v>139</v>
      </c>
      <c r="AL2" s="593"/>
      <c r="AM2" s="591"/>
      <c r="AN2" s="593" t="s">
        <v>139</v>
      </c>
      <c r="AO2" s="593"/>
      <c r="AP2" s="591"/>
      <c r="AQ2" s="591"/>
    </row>
    <row r="3" spans="1:43" s="10" customFormat="1" ht="61.95" customHeight="1" x14ac:dyDescent="0.3">
      <c r="A3" s="9"/>
      <c r="B3" s="131"/>
      <c r="C3" s="15" t="s">
        <v>122</v>
      </c>
      <c r="D3" s="16" t="s">
        <v>81</v>
      </c>
      <c r="E3" s="97" t="s">
        <v>123</v>
      </c>
      <c r="F3" s="102" t="s">
        <v>125</v>
      </c>
      <c r="G3" s="17" t="s">
        <v>127</v>
      </c>
      <c r="H3" s="98" t="s">
        <v>128</v>
      </c>
      <c r="I3" s="102" t="s">
        <v>125</v>
      </c>
      <c r="J3" s="17" t="s">
        <v>83</v>
      </c>
      <c r="K3" s="98" t="s">
        <v>124</v>
      </c>
      <c r="L3" s="98" t="s">
        <v>151</v>
      </c>
      <c r="M3" s="127" t="s">
        <v>126</v>
      </c>
      <c r="N3" s="18" t="s">
        <v>84</v>
      </c>
      <c r="O3" s="19" t="s">
        <v>85</v>
      </c>
      <c r="P3" s="19" t="s">
        <v>86</v>
      </c>
      <c r="Q3" s="19" t="s">
        <v>87</v>
      </c>
      <c r="R3" s="20" t="s">
        <v>88</v>
      </c>
      <c r="S3" s="20" t="s">
        <v>89</v>
      </c>
      <c r="T3" s="20" t="s">
        <v>90</v>
      </c>
      <c r="U3" s="20" t="s">
        <v>86</v>
      </c>
      <c r="V3" s="20" t="s">
        <v>91</v>
      </c>
      <c r="W3" s="20" t="s">
        <v>92</v>
      </c>
      <c r="AA3" s="192" t="s">
        <v>130</v>
      </c>
      <c r="AB3" s="192" t="s">
        <v>131</v>
      </c>
      <c r="AC3" s="600"/>
      <c r="AD3" s="187" t="s">
        <v>138</v>
      </c>
      <c r="AE3" s="150" t="s">
        <v>134</v>
      </c>
      <c r="AF3" s="145" t="s">
        <v>135</v>
      </c>
      <c r="AG3" s="145" t="s">
        <v>137</v>
      </c>
      <c r="AH3" s="149" t="s">
        <v>136</v>
      </c>
      <c r="AI3" s="148" t="s">
        <v>140</v>
      </c>
      <c r="AK3" s="14">
        <v>212</v>
      </c>
      <c r="AL3" s="14">
        <v>213</v>
      </c>
      <c r="AM3" s="592"/>
      <c r="AN3" s="14">
        <v>212</v>
      </c>
      <c r="AO3" s="14">
        <v>213</v>
      </c>
      <c r="AP3" s="592"/>
      <c r="AQ3" s="592"/>
    </row>
    <row r="4" spans="1:43" ht="14.4" x14ac:dyDescent="0.3">
      <c r="A4" s="21" t="s">
        <v>9</v>
      </c>
      <c r="B4" s="132">
        <v>13</v>
      </c>
      <c r="C4" s="95">
        <v>4</v>
      </c>
      <c r="D4" s="106">
        <v>59</v>
      </c>
      <c r="E4" s="101">
        <v>59</v>
      </c>
      <c r="F4" s="103">
        <f>E4-D4</f>
        <v>0</v>
      </c>
      <c r="G4" s="111">
        <v>10</v>
      </c>
      <c r="H4" s="104">
        <v>11</v>
      </c>
      <c r="I4" s="105">
        <f>H4-G4</f>
        <v>1</v>
      </c>
      <c r="J4" s="22">
        <f t="shared" ref="J4:K35" si="0">ROUNDUP(D4/5,0)</f>
        <v>12</v>
      </c>
      <c r="K4" s="99">
        <f>ROUNDUP(E4/5,0)</f>
        <v>12</v>
      </c>
      <c r="L4" s="169">
        <f>K4-H4</f>
        <v>1</v>
      </c>
      <c r="M4" s="126">
        <f>IF(H4&gt;K4,K4,H4)</f>
        <v>11</v>
      </c>
      <c r="N4" s="23">
        <v>10</v>
      </c>
      <c r="O4" s="119">
        <f>N4*$J$2</f>
        <v>278450</v>
      </c>
      <c r="P4" s="119">
        <f>O4*$P$2</f>
        <v>84091.9</v>
      </c>
      <c r="Q4" s="119">
        <f t="shared" ref="Q4:Q68" si="1">O4+P4</f>
        <v>362541.9</v>
      </c>
      <c r="R4" s="24">
        <f t="shared" ref="R4:R60" si="2">N4/$N$76</f>
        <v>1.4749262536873156E-2</v>
      </c>
      <c r="S4" s="120">
        <f t="shared" ref="S4:S9" si="3">ROUND(R4*$O$83,0)</f>
        <v>7</v>
      </c>
      <c r="T4" s="121">
        <f>S4*$J$2</f>
        <v>194915</v>
      </c>
      <c r="U4" s="121">
        <f>ROUND(T4*$P$2,2)</f>
        <v>58864.33</v>
      </c>
      <c r="V4" s="121">
        <f>T4+U4</f>
        <v>253779.33000000002</v>
      </c>
      <c r="W4" s="122">
        <f>IF(V4&gt;=-99,IF(V4&gt;0,ROUNDUP(V4/1000,1),0),ROUNDDOWN(V4/1000,1))*1000</f>
        <v>253799.99999999997</v>
      </c>
      <c r="X4" s="38">
        <f>W4+'проезд Лизе к бюджету 2018'!L5</f>
        <v>350699.99999999994</v>
      </c>
      <c r="Y4" s="37" t="e">
        <f>#REF!+#REF!</f>
        <v>#REF!</v>
      </c>
      <c r="Z4" s="37" t="e">
        <f>X4-Y4</f>
        <v>#REF!</v>
      </c>
      <c r="AA4" s="193">
        <v>297160</v>
      </c>
      <c r="AB4" s="193">
        <v>89840</v>
      </c>
      <c r="AC4" s="191">
        <f>AA4+AB4</f>
        <v>387000</v>
      </c>
      <c r="AD4" s="188">
        <f>$K$2*M4</f>
        <v>306295</v>
      </c>
      <c r="AE4" s="139">
        <v>5800</v>
      </c>
      <c r="AF4" s="182">
        <f>ROUND(AE4/1450,0)</f>
        <v>4</v>
      </c>
      <c r="AG4" s="146">
        <v>23110.799999999999</v>
      </c>
      <c r="AH4" s="141">
        <f>ROUNDUP((1450*AF4*9)+AD4+AG4,0)</f>
        <v>381606</v>
      </c>
      <c r="AI4" s="143">
        <f>AH4-AA4</f>
        <v>84446</v>
      </c>
      <c r="AJ4" s="125">
        <f>AF4-'проезд Лизе к бюджету 2018'!B5</f>
        <v>2</v>
      </c>
      <c r="AK4" s="141">
        <f>AI4</f>
        <v>84446</v>
      </c>
      <c r="AL4" s="141">
        <f>-AB4</f>
        <v>-89840</v>
      </c>
      <c r="AM4" s="141">
        <f>SUM(AK4:AL4)</f>
        <v>-5394</v>
      </c>
      <c r="AN4" s="155">
        <f>IF(AK4&gt;=-99,IF(AK4&gt;0,ROUNDUP(AK4/1000,1),0),ROUNDDOWN(AK4/1000,1))*1000</f>
        <v>84500</v>
      </c>
      <c r="AO4" s="155">
        <f t="shared" ref="AO4:AO24" si="4">IF(AL4&gt;=-99,IF(AL4&gt;0,ROUNDUP(AL4/1000,1),0),ROUNDDOWN(AL4/1000,1))*1000</f>
        <v>-89800</v>
      </c>
      <c r="AP4" s="154">
        <f t="shared" ref="AP4:AP24" si="5">SUM(AN4:AO4)</f>
        <v>-5300</v>
      </c>
      <c r="AQ4" s="157">
        <v>-4800</v>
      </c>
    </row>
    <row r="5" spans="1:43" ht="14.4" x14ac:dyDescent="0.3">
      <c r="A5" s="21" t="s">
        <v>10</v>
      </c>
      <c r="B5" s="132">
        <v>14</v>
      </c>
      <c r="C5" s="95">
        <v>0</v>
      </c>
      <c r="D5" s="106">
        <v>39</v>
      </c>
      <c r="E5" s="101">
        <v>41</v>
      </c>
      <c r="F5" s="103">
        <f t="shared" ref="F5:F68" si="6">E5-D5</f>
        <v>2</v>
      </c>
      <c r="G5" s="111">
        <v>7</v>
      </c>
      <c r="H5" s="104">
        <v>8</v>
      </c>
      <c r="I5" s="105">
        <f t="shared" ref="I5:I68" si="7">H5-G5</f>
        <v>1</v>
      </c>
      <c r="J5" s="22">
        <f t="shared" si="0"/>
        <v>8</v>
      </c>
      <c r="K5" s="99">
        <f t="shared" si="0"/>
        <v>9</v>
      </c>
      <c r="L5" s="169">
        <f t="shared" ref="L5:L69" si="8">K5-H5</f>
        <v>1</v>
      </c>
      <c r="M5" s="126">
        <f>IF(H5&gt;K5,K5,H5)</f>
        <v>8</v>
      </c>
      <c r="N5" s="25">
        <v>7</v>
      </c>
      <c r="O5" s="119">
        <f t="shared" ref="O5:O69" si="9">N5*$J$2</f>
        <v>194915</v>
      </c>
      <c r="P5" s="119">
        <f t="shared" ref="P5:P69" si="10">O5*$P$2</f>
        <v>58864.33</v>
      </c>
      <c r="Q5" s="119">
        <f t="shared" si="1"/>
        <v>253779.33000000002</v>
      </c>
      <c r="R5" s="24">
        <f t="shared" si="2"/>
        <v>1.0324483775811209E-2</v>
      </c>
      <c r="S5" s="120">
        <f t="shared" si="3"/>
        <v>5</v>
      </c>
      <c r="T5" s="121">
        <f t="shared" ref="T5:T69" si="11">S5*$J$2</f>
        <v>139225</v>
      </c>
      <c r="U5" s="121">
        <f t="shared" ref="U5:U69" si="12">ROUND(T5*$P$2,2)</f>
        <v>42045.95</v>
      </c>
      <c r="V5" s="121">
        <f t="shared" ref="V5:V69" si="13">T5+U5</f>
        <v>181270.95</v>
      </c>
      <c r="W5" s="122">
        <f t="shared" ref="W5:W69" si="14">IF(V5&gt;=-99,IF(V5&gt;0,ROUNDUP(V5/1000,1),0),ROUNDDOWN(V5/1000,1))*1000</f>
        <v>181299.99999999997</v>
      </c>
      <c r="X5" s="38">
        <f>W5+'проезд Лизе к бюджету 2018'!L6</f>
        <v>181299.99999999997</v>
      </c>
      <c r="Y5" s="37" t="e">
        <f>#REF!+#REF!</f>
        <v>#REF!</v>
      </c>
      <c r="Z5" s="37" t="e">
        <f t="shared" ref="Z5:Z15" si="15">X5-Y5</f>
        <v>#REF!</v>
      </c>
      <c r="AA5" s="193">
        <v>167070</v>
      </c>
      <c r="AB5" s="193">
        <v>50530</v>
      </c>
      <c r="AC5" s="191">
        <f t="shared" ref="AC5:AC68" si="16">AA5+AB5</f>
        <v>217600</v>
      </c>
      <c r="AD5" s="188">
        <f t="shared" ref="AD5:AD68" si="17">$K$2*M5</f>
        <v>222760</v>
      </c>
      <c r="AE5" s="139"/>
      <c r="AF5" s="140">
        <f t="shared" ref="AF5:AF67" si="18">ROUND(AE5/1450,0)</f>
        <v>0</v>
      </c>
      <c r="AG5" s="146"/>
      <c r="AH5" s="141">
        <f t="shared" ref="AH5:AH68" si="19">ROUNDUP((1450*AF5*9)+AD5+AG5,0)</f>
        <v>222760</v>
      </c>
      <c r="AI5" s="143">
        <f t="shared" ref="AI5:AI68" si="20">AH5-AA5</f>
        <v>55690</v>
      </c>
      <c r="AJ5" s="125">
        <f>AF5-'проезд Лизе к бюджету 2018'!B6</f>
        <v>-1</v>
      </c>
      <c r="AK5" s="141">
        <f t="shared" ref="AK5:AK68" si="21">AI5</f>
        <v>55690</v>
      </c>
      <c r="AL5" s="141">
        <f t="shared" ref="AL5:AL68" si="22">-AB5</f>
        <v>-50530</v>
      </c>
      <c r="AM5" s="141">
        <f t="shared" ref="AM5:AM68" si="23">SUM(AK5:AL5)</f>
        <v>5160</v>
      </c>
      <c r="AN5" s="155">
        <f t="shared" ref="AN5:AN24" si="24">IF(AK5&gt;=-99,IF(AK5&gt;0,ROUNDUP(AK5/1000,1),0),ROUNDDOWN(AK5/1000,1))*1000</f>
        <v>55700</v>
      </c>
      <c r="AO5" s="155">
        <f t="shared" si="4"/>
        <v>-50500</v>
      </c>
      <c r="AP5" s="154">
        <f t="shared" si="5"/>
        <v>5200</v>
      </c>
      <c r="AQ5" s="154">
        <f t="shared" ref="AQ5:AQ67" si="25">AP5</f>
        <v>5200</v>
      </c>
    </row>
    <row r="6" spans="1:43" ht="14.4" x14ac:dyDescent="0.3">
      <c r="A6" s="21" t="s">
        <v>44</v>
      </c>
      <c r="B6" s="132">
        <v>17</v>
      </c>
      <c r="C6" s="95">
        <v>3</v>
      </c>
      <c r="D6" s="106">
        <v>85</v>
      </c>
      <c r="E6" s="101">
        <v>77</v>
      </c>
      <c r="F6" s="103">
        <f t="shared" si="6"/>
        <v>-8</v>
      </c>
      <c r="G6" s="111">
        <v>15</v>
      </c>
      <c r="H6" s="104">
        <v>15</v>
      </c>
      <c r="I6" s="105">
        <f t="shared" si="7"/>
        <v>0</v>
      </c>
      <c r="J6" s="22">
        <f t="shared" si="0"/>
        <v>17</v>
      </c>
      <c r="K6" s="99">
        <f>ROUNDUP(E6/5,0)</f>
        <v>16</v>
      </c>
      <c r="L6" s="169">
        <f t="shared" si="8"/>
        <v>1</v>
      </c>
      <c r="M6" s="126">
        <f>IF(H6&gt;K6,K6,H6)</f>
        <v>15</v>
      </c>
      <c r="N6" s="25">
        <v>15</v>
      </c>
      <c r="O6" s="119">
        <f t="shared" si="9"/>
        <v>417675</v>
      </c>
      <c r="P6" s="119">
        <f t="shared" si="10"/>
        <v>126137.84999999999</v>
      </c>
      <c r="Q6" s="119">
        <f t="shared" si="1"/>
        <v>543812.85</v>
      </c>
      <c r="R6" s="24">
        <f t="shared" si="2"/>
        <v>2.2123893805309734E-2</v>
      </c>
      <c r="S6" s="120">
        <f t="shared" si="3"/>
        <v>11</v>
      </c>
      <c r="T6" s="121">
        <f t="shared" si="11"/>
        <v>306295</v>
      </c>
      <c r="U6" s="121">
        <f t="shared" si="12"/>
        <v>92501.09</v>
      </c>
      <c r="V6" s="121">
        <f t="shared" si="13"/>
        <v>398796.08999999997</v>
      </c>
      <c r="W6" s="122">
        <f t="shared" si="14"/>
        <v>398800</v>
      </c>
      <c r="X6" s="38">
        <f>W6+'проезд Лизе к бюджету 2018'!L7</f>
        <v>544200</v>
      </c>
      <c r="Y6" s="37" t="e">
        <f>#REF!+#REF!</f>
        <v>#REF!</v>
      </c>
      <c r="Z6" s="37" t="e">
        <f t="shared" si="15"/>
        <v>#REF!</v>
      </c>
      <c r="AA6" s="193">
        <v>278670</v>
      </c>
      <c r="AB6" s="193">
        <v>84330</v>
      </c>
      <c r="AC6" s="191">
        <f t="shared" si="16"/>
        <v>363000</v>
      </c>
      <c r="AD6" s="188">
        <f t="shared" si="17"/>
        <v>417675</v>
      </c>
      <c r="AE6" s="139">
        <v>8700</v>
      </c>
      <c r="AF6" s="182">
        <f t="shared" si="18"/>
        <v>6</v>
      </c>
      <c r="AG6" s="146">
        <v>34757</v>
      </c>
      <c r="AH6" s="141">
        <f t="shared" si="19"/>
        <v>530732</v>
      </c>
      <c r="AI6" s="143">
        <f t="shared" si="20"/>
        <v>252062</v>
      </c>
      <c r="AJ6" s="125">
        <f>AF6-'проезд Лизе к бюджету 2018'!B7</f>
        <v>1</v>
      </c>
      <c r="AK6" s="141">
        <f t="shared" si="21"/>
        <v>252062</v>
      </c>
      <c r="AL6" s="141">
        <f t="shared" si="22"/>
        <v>-84330</v>
      </c>
      <c r="AM6" s="141">
        <f t="shared" si="23"/>
        <v>167732</v>
      </c>
      <c r="AN6" s="155">
        <f t="shared" si="24"/>
        <v>252100</v>
      </c>
      <c r="AO6" s="155">
        <f t="shared" si="4"/>
        <v>-84300</v>
      </c>
      <c r="AP6" s="154">
        <f t="shared" si="5"/>
        <v>167800</v>
      </c>
      <c r="AQ6" s="154">
        <f t="shared" si="25"/>
        <v>167800</v>
      </c>
    </row>
    <row r="7" spans="1:43" ht="14.4" x14ac:dyDescent="0.3">
      <c r="A7" s="26" t="s">
        <v>6</v>
      </c>
      <c r="B7" s="132">
        <v>20</v>
      </c>
      <c r="C7" s="95">
        <v>4</v>
      </c>
      <c r="D7" s="106">
        <v>77</v>
      </c>
      <c r="E7" s="101">
        <v>78</v>
      </c>
      <c r="F7" s="103">
        <f t="shared" si="6"/>
        <v>1</v>
      </c>
      <c r="G7" s="111">
        <v>11</v>
      </c>
      <c r="H7" s="104">
        <v>10</v>
      </c>
      <c r="I7" s="105">
        <f t="shared" si="7"/>
        <v>-1</v>
      </c>
      <c r="J7" s="22">
        <f t="shared" si="0"/>
        <v>16</v>
      </c>
      <c r="K7" s="99">
        <f t="shared" si="0"/>
        <v>16</v>
      </c>
      <c r="L7" s="169">
        <f t="shared" si="8"/>
        <v>6</v>
      </c>
      <c r="M7" s="126">
        <f t="shared" ref="M7:M70" si="26">IF(H7&gt;K7,K7,H7)</f>
        <v>10</v>
      </c>
      <c r="N7" s="25">
        <v>11</v>
      </c>
      <c r="O7" s="119">
        <f t="shared" si="9"/>
        <v>306295</v>
      </c>
      <c r="P7" s="119">
        <f t="shared" si="10"/>
        <v>92501.09</v>
      </c>
      <c r="Q7" s="119">
        <f t="shared" si="1"/>
        <v>398796.08999999997</v>
      </c>
      <c r="R7" s="24">
        <f t="shared" si="2"/>
        <v>1.6224188790560472E-2</v>
      </c>
      <c r="S7" s="120">
        <f t="shared" si="3"/>
        <v>8</v>
      </c>
      <c r="T7" s="121">
        <f t="shared" si="11"/>
        <v>222760</v>
      </c>
      <c r="U7" s="121">
        <f t="shared" si="12"/>
        <v>67273.52</v>
      </c>
      <c r="V7" s="121">
        <f t="shared" si="13"/>
        <v>290033.52</v>
      </c>
      <c r="W7" s="122">
        <f t="shared" si="14"/>
        <v>290100</v>
      </c>
      <c r="X7" s="38">
        <f>W7+'проезд Лизе к бюджету 2018'!L8</f>
        <v>387000</v>
      </c>
      <c r="Y7" s="37" t="e">
        <f>#REF!+#REF!</f>
        <v>#REF!</v>
      </c>
      <c r="Z7" s="37" t="e">
        <f t="shared" si="15"/>
        <v>#REF!</v>
      </c>
      <c r="AA7" s="193">
        <v>297160</v>
      </c>
      <c r="AB7" s="193">
        <v>89840</v>
      </c>
      <c r="AC7" s="191">
        <f t="shared" si="16"/>
        <v>387000</v>
      </c>
      <c r="AD7" s="188">
        <f t="shared" si="17"/>
        <v>278450</v>
      </c>
      <c r="AE7" s="139">
        <v>5800</v>
      </c>
      <c r="AF7" s="182">
        <f t="shared" si="18"/>
        <v>4</v>
      </c>
      <c r="AG7" s="146">
        <v>23064.1</v>
      </c>
      <c r="AH7" s="141">
        <f t="shared" si="19"/>
        <v>353715</v>
      </c>
      <c r="AI7" s="143">
        <f t="shared" si="20"/>
        <v>56555</v>
      </c>
      <c r="AJ7" s="125">
        <f>AF7-'проезд Лизе к бюджету 2018'!B8</f>
        <v>0</v>
      </c>
      <c r="AK7" s="141">
        <f t="shared" si="21"/>
        <v>56555</v>
      </c>
      <c r="AL7" s="141">
        <f t="shared" si="22"/>
        <v>-89840</v>
      </c>
      <c r="AM7" s="141">
        <f t="shared" si="23"/>
        <v>-33285</v>
      </c>
      <c r="AN7" s="155">
        <f t="shared" si="24"/>
        <v>56600</v>
      </c>
      <c r="AO7" s="155">
        <f t="shared" si="4"/>
        <v>-89800</v>
      </c>
      <c r="AP7" s="154">
        <f t="shared" si="5"/>
        <v>-33200</v>
      </c>
      <c r="AQ7" s="154">
        <f t="shared" si="25"/>
        <v>-33200</v>
      </c>
    </row>
    <row r="8" spans="1:43" ht="14.4" x14ac:dyDescent="0.3">
      <c r="A8" s="21" t="s">
        <v>45</v>
      </c>
      <c r="B8" s="132">
        <v>23</v>
      </c>
      <c r="C8" s="95">
        <v>0</v>
      </c>
      <c r="D8" s="106">
        <v>71</v>
      </c>
      <c r="E8" s="101">
        <v>71</v>
      </c>
      <c r="F8" s="103">
        <f t="shared" si="6"/>
        <v>0</v>
      </c>
      <c r="G8" s="111">
        <v>12</v>
      </c>
      <c r="H8" s="104">
        <v>13</v>
      </c>
      <c r="I8" s="105">
        <f t="shared" si="7"/>
        <v>1</v>
      </c>
      <c r="J8" s="22">
        <f t="shared" si="0"/>
        <v>15</v>
      </c>
      <c r="K8" s="99">
        <f t="shared" si="0"/>
        <v>15</v>
      </c>
      <c r="L8" s="169">
        <f t="shared" si="8"/>
        <v>2</v>
      </c>
      <c r="M8" s="126">
        <f t="shared" si="26"/>
        <v>13</v>
      </c>
      <c r="N8" s="25">
        <v>12</v>
      </c>
      <c r="O8" s="119">
        <f t="shared" si="9"/>
        <v>334140</v>
      </c>
      <c r="P8" s="119">
        <f t="shared" si="10"/>
        <v>100910.28</v>
      </c>
      <c r="Q8" s="119">
        <f t="shared" si="1"/>
        <v>435050.28</v>
      </c>
      <c r="R8" s="24">
        <f t="shared" si="2"/>
        <v>1.7699115044247787E-2</v>
      </c>
      <c r="S8" s="120">
        <f t="shared" si="3"/>
        <v>9</v>
      </c>
      <c r="T8" s="121">
        <f t="shared" si="11"/>
        <v>250605</v>
      </c>
      <c r="U8" s="121">
        <f t="shared" si="12"/>
        <v>75682.710000000006</v>
      </c>
      <c r="V8" s="121">
        <f t="shared" si="13"/>
        <v>326287.71000000002</v>
      </c>
      <c r="W8" s="122">
        <f t="shared" si="14"/>
        <v>326300</v>
      </c>
      <c r="X8" s="38">
        <f>W8+'проезд Лизе к бюджету 2018'!L9</f>
        <v>399000</v>
      </c>
      <c r="Y8" s="37" t="e">
        <f>#REF!+#REF!</f>
        <v>#REF!</v>
      </c>
      <c r="Z8" s="37" t="e">
        <f t="shared" si="15"/>
        <v>#REF!</v>
      </c>
      <c r="AA8" s="193">
        <v>306405</v>
      </c>
      <c r="AB8" s="193">
        <v>92695</v>
      </c>
      <c r="AC8" s="191">
        <f t="shared" si="16"/>
        <v>399100</v>
      </c>
      <c r="AD8" s="188">
        <f t="shared" si="17"/>
        <v>361985</v>
      </c>
      <c r="AE8" s="139">
        <v>2900</v>
      </c>
      <c r="AF8" s="183">
        <f t="shared" si="18"/>
        <v>2</v>
      </c>
      <c r="AG8" s="146">
        <v>11491.6</v>
      </c>
      <c r="AH8" s="141">
        <f t="shared" si="19"/>
        <v>399577</v>
      </c>
      <c r="AI8" s="143">
        <f t="shared" si="20"/>
        <v>93172</v>
      </c>
      <c r="AJ8" s="125">
        <f>AF8-'проезд Лизе к бюджету 2018'!B9</f>
        <v>-2</v>
      </c>
      <c r="AK8" s="141">
        <f t="shared" si="21"/>
        <v>93172</v>
      </c>
      <c r="AL8" s="141">
        <f t="shared" si="22"/>
        <v>-92695</v>
      </c>
      <c r="AM8" s="141">
        <f t="shared" si="23"/>
        <v>477</v>
      </c>
      <c r="AN8" s="155">
        <f t="shared" si="24"/>
        <v>93199.999999999985</v>
      </c>
      <c r="AO8" s="155">
        <f t="shared" si="4"/>
        <v>-92600</v>
      </c>
      <c r="AP8" s="156">
        <f t="shared" si="5"/>
        <v>599.99999999998545</v>
      </c>
      <c r="AQ8" s="157">
        <f>AP8</f>
        <v>599.99999999998545</v>
      </c>
    </row>
    <row r="9" spans="1:43" ht="14.4" x14ac:dyDescent="0.3">
      <c r="A9" s="21" t="s">
        <v>11</v>
      </c>
      <c r="B9" s="132">
        <v>26</v>
      </c>
      <c r="C9" s="95">
        <v>2</v>
      </c>
      <c r="D9" s="106">
        <v>63</v>
      </c>
      <c r="E9" s="101">
        <v>63</v>
      </c>
      <c r="F9" s="103">
        <f t="shared" si="6"/>
        <v>0</v>
      </c>
      <c r="G9" s="111">
        <v>15</v>
      </c>
      <c r="H9" s="104">
        <v>13</v>
      </c>
      <c r="I9" s="105">
        <f t="shared" si="7"/>
        <v>-2</v>
      </c>
      <c r="J9" s="22">
        <f t="shared" si="0"/>
        <v>13</v>
      </c>
      <c r="K9" s="99">
        <f t="shared" si="0"/>
        <v>13</v>
      </c>
      <c r="L9" s="169">
        <f t="shared" si="8"/>
        <v>0</v>
      </c>
      <c r="M9" s="126">
        <f t="shared" si="26"/>
        <v>13</v>
      </c>
      <c r="N9" s="25">
        <v>13</v>
      </c>
      <c r="O9" s="119">
        <f t="shared" si="9"/>
        <v>361985</v>
      </c>
      <c r="P9" s="119">
        <f t="shared" si="10"/>
        <v>109319.47</v>
      </c>
      <c r="Q9" s="119">
        <f t="shared" si="1"/>
        <v>471304.47</v>
      </c>
      <c r="R9" s="24">
        <f t="shared" si="2"/>
        <v>1.9174041297935103E-2</v>
      </c>
      <c r="S9" s="120">
        <f t="shared" si="3"/>
        <v>10</v>
      </c>
      <c r="T9" s="121">
        <f t="shared" si="11"/>
        <v>278450</v>
      </c>
      <c r="U9" s="121">
        <f t="shared" si="12"/>
        <v>84091.9</v>
      </c>
      <c r="V9" s="121">
        <f t="shared" si="13"/>
        <v>362541.9</v>
      </c>
      <c r="W9" s="122">
        <f t="shared" si="14"/>
        <v>362600</v>
      </c>
      <c r="X9" s="38">
        <f>W9+'проезд Лизе к бюджету 2018'!L10</f>
        <v>386900</v>
      </c>
      <c r="Y9" s="37" t="e">
        <f>#REF!+#REF!</f>
        <v>#REF!</v>
      </c>
      <c r="Z9" s="37" t="e">
        <f t="shared" si="15"/>
        <v>#REF!</v>
      </c>
      <c r="AA9" s="193">
        <v>297050</v>
      </c>
      <c r="AB9" s="193">
        <v>89850</v>
      </c>
      <c r="AC9" s="191">
        <f t="shared" si="16"/>
        <v>386900</v>
      </c>
      <c r="AD9" s="188">
        <f t="shared" si="17"/>
        <v>361985</v>
      </c>
      <c r="AE9" s="139">
        <v>1450</v>
      </c>
      <c r="AF9" s="182">
        <f t="shared" si="18"/>
        <v>1</v>
      </c>
      <c r="AG9" s="146">
        <v>5658.7</v>
      </c>
      <c r="AH9" s="141">
        <f t="shared" si="19"/>
        <v>380694</v>
      </c>
      <c r="AI9" s="143">
        <f t="shared" si="20"/>
        <v>83644</v>
      </c>
      <c r="AJ9" s="125">
        <f>AF9-'проезд Лизе к бюджету 2018'!B10</f>
        <v>-3</v>
      </c>
      <c r="AK9" s="141">
        <f t="shared" si="21"/>
        <v>83644</v>
      </c>
      <c r="AL9" s="141">
        <f t="shared" si="22"/>
        <v>-89850</v>
      </c>
      <c r="AM9" s="141">
        <f t="shared" si="23"/>
        <v>-6206</v>
      </c>
      <c r="AN9" s="155">
        <f t="shared" si="24"/>
        <v>83699.999999999985</v>
      </c>
      <c r="AO9" s="155">
        <f t="shared" si="4"/>
        <v>-89800</v>
      </c>
      <c r="AP9" s="154">
        <f t="shared" si="5"/>
        <v>-6100.0000000000146</v>
      </c>
      <c r="AQ9" s="157"/>
    </row>
    <row r="10" spans="1:43" ht="14.4" x14ac:dyDescent="0.3">
      <c r="A10" s="21" t="s">
        <v>46</v>
      </c>
      <c r="B10" s="132">
        <v>34</v>
      </c>
      <c r="C10" s="95">
        <v>1</v>
      </c>
      <c r="D10" s="106">
        <v>87</v>
      </c>
      <c r="E10" s="101">
        <v>84</v>
      </c>
      <c r="F10" s="103">
        <f t="shared" si="6"/>
        <v>-3</v>
      </c>
      <c r="G10" s="111">
        <v>17</v>
      </c>
      <c r="H10" s="104">
        <v>17</v>
      </c>
      <c r="I10" s="105">
        <f t="shared" si="7"/>
        <v>0</v>
      </c>
      <c r="J10" s="22">
        <f t="shared" si="0"/>
        <v>18</v>
      </c>
      <c r="K10" s="99">
        <f t="shared" si="0"/>
        <v>17</v>
      </c>
      <c r="L10" s="169">
        <f t="shared" si="8"/>
        <v>0</v>
      </c>
      <c r="M10" s="126">
        <f t="shared" si="26"/>
        <v>17</v>
      </c>
      <c r="N10" s="25">
        <v>17</v>
      </c>
      <c r="O10" s="119">
        <f t="shared" si="9"/>
        <v>473365</v>
      </c>
      <c r="P10" s="119">
        <f t="shared" si="10"/>
        <v>142956.22999999998</v>
      </c>
      <c r="Q10" s="119">
        <f t="shared" si="1"/>
        <v>616321.23</v>
      </c>
      <c r="R10" s="24">
        <f t="shared" si="2"/>
        <v>2.5073746312684365E-2</v>
      </c>
      <c r="S10" s="120">
        <f>ROUND(R10*$O$83,0)-1</f>
        <v>12</v>
      </c>
      <c r="T10" s="121">
        <f t="shared" si="11"/>
        <v>334140</v>
      </c>
      <c r="U10" s="121">
        <f t="shared" si="12"/>
        <v>100910.28</v>
      </c>
      <c r="V10" s="121">
        <f t="shared" si="13"/>
        <v>435050.28</v>
      </c>
      <c r="W10" s="122">
        <f t="shared" si="14"/>
        <v>435100</v>
      </c>
      <c r="X10" s="38">
        <f>W10+'проезд Лизе к бюджету 2018'!L11</f>
        <v>483600</v>
      </c>
      <c r="Y10" s="37" t="e">
        <f>#REF!+#REF!</f>
        <v>#REF!</v>
      </c>
      <c r="Z10" s="37" t="e">
        <f t="shared" si="15"/>
        <v>#REF!</v>
      </c>
      <c r="AA10" s="193">
        <v>399185</v>
      </c>
      <c r="AB10" s="193">
        <v>120715</v>
      </c>
      <c r="AC10" s="191">
        <f t="shared" si="16"/>
        <v>519900</v>
      </c>
      <c r="AD10" s="188">
        <f t="shared" si="17"/>
        <v>473365</v>
      </c>
      <c r="AE10" s="139">
        <v>2900</v>
      </c>
      <c r="AF10" s="182">
        <v>3</v>
      </c>
      <c r="AG10" s="146">
        <v>11525.8</v>
      </c>
      <c r="AH10" s="141">
        <f t="shared" si="19"/>
        <v>524041</v>
      </c>
      <c r="AI10" s="143">
        <f t="shared" si="20"/>
        <v>124856</v>
      </c>
      <c r="AJ10" s="125">
        <f>AF10-'проезд Лизе к бюджету 2018'!B11</f>
        <v>1</v>
      </c>
      <c r="AK10" s="141">
        <f t="shared" si="21"/>
        <v>124856</v>
      </c>
      <c r="AL10" s="141">
        <f t="shared" si="22"/>
        <v>-120715</v>
      </c>
      <c r="AM10" s="141">
        <f t="shared" si="23"/>
        <v>4141</v>
      </c>
      <c r="AN10" s="155">
        <f t="shared" si="24"/>
        <v>124899.99999999999</v>
      </c>
      <c r="AO10" s="155">
        <f t="shared" si="4"/>
        <v>-120700</v>
      </c>
      <c r="AP10" s="154">
        <f t="shared" si="5"/>
        <v>4199.9999999999854</v>
      </c>
      <c r="AQ10" s="157"/>
    </row>
    <row r="11" spans="1:43" ht="14.4" x14ac:dyDescent="0.3">
      <c r="A11" s="21" t="s">
        <v>24</v>
      </c>
      <c r="B11" s="132">
        <v>39</v>
      </c>
      <c r="C11" s="95">
        <v>1</v>
      </c>
      <c r="D11" s="106">
        <v>45</v>
      </c>
      <c r="E11" s="101">
        <v>45</v>
      </c>
      <c r="F11" s="103">
        <f t="shared" si="6"/>
        <v>0</v>
      </c>
      <c r="G11" s="111">
        <v>8</v>
      </c>
      <c r="H11" s="104">
        <v>8</v>
      </c>
      <c r="I11" s="105">
        <f t="shared" si="7"/>
        <v>0</v>
      </c>
      <c r="J11" s="22">
        <f t="shared" si="0"/>
        <v>9</v>
      </c>
      <c r="K11" s="99">
        <f t="shared" si="0"/>
        <v>9</v>
      </c>
      <c r="L11" s="169">
        <f t="shared" si="8"/>
        <v>1</v>
      </c>
      <c r="M11" s="126">
        <f t="shared" si="26"/>
        <v>8</v>
      </c>
      <c r="N11" s="27">
        <v>8</v>
      </c>
      <c r="O11" s="119">
        <f>N11*$J$2</f>
        <v>222760</v>
      </c>
      <c r="P11" s="119">
        <f t="shared" si="10"/>
        <v>67273.52</v>
      </c>
      <c r="Q11" s="119">
        <f t="shared" si="1"/>
        <v>290033.52</v>
      </c>
      <c r="R11" s="24">
        <f t="shared" si="2"/>
        <v>1.1799410029498525E-2</v>
      </c>
      <c r="S11" s="120">
        <f t="shared" ref="S11:S30" si="27">ROUND(R11*$O$83,0)</f>
        <v>6</v>
      </c>
      <c r="T11" s="121">
        <f t="shared" si="11"/>
        <v>167070</v>
      </c>
      <c r="U11" s="121">
        <f t="shared" si="12"/>
        <v>50455.14</v>
      </c>
      <c r="V11" s="121">
        <f t="shared" si="13"/>
        <v>217525.14</v>
      </c>
      <c r="W11" s="122">
        <f t="shared" si="14"/>
        <v>217600</v>
      </c>
      <c r="X11" s="38">
        <f>W11+'проезд Лизе к бюджету 2018'!L12</f>
        <v>314500</v>
      </c>
      <c r="Y11" s="37" t="e">
        <f>#REF!+#REF!</f>
        <v>#REF!</v>
      </c>
      <c r="Z11" s="37" t="e">
        <f t="shared" si="15"/>
        <v>#REF!</v>
      </c>
      <c r="AA11" s="193">
        <v>269315</v>
      </c>
      <c r="AB11" s="193">
        <v>81485</v>
      </c>
      <c r="AC11" s="191">
        <f t="shared" si="16"/>
        <v>350800</v>
      </c>
      <c r="AD11" s="188">
        <f t="shared" si="17"/>
        <v>222760</v>
      </c>
      <c r="AE11" s="139">
        <v>4350</v>
      </c>
      <c r="AF11" s="182">
        <v>4</v>
      </c>
      <c r="AG11" s="146">
        <v>17304.099999999999</v>
      </c>
      <c r="AH11" s="141">
        <f t="shared" si="19"/>
        <v>292265</v>
      </c>
      <c r="AI11" s="143">
        <f t="shared" si="20"/>
        <v>22950</v>
      </c>
      <c r="AJ11" s="125">
        <f>AF11-'проезд Лизе к бюджету 2018'!B12</f>
        <v>0</v>
      </c>
      <c r="AK11" s="141">
        <f t="shared" si="21"/>
        <v>22950</v>
      </c>
      <c r="AL11" s="141">
        <f t="shared" si="22"/>
        <v>-81485</v>
      </c>
      <c r="AM11" s="141">
        <f t="shared" si="23"/>
        <v>-58535</v>
      </c>
      <c r="AN11" s="155">
        <f t="shared" si="24"/>
        <v>23000</v>
      </c>
      <c r="AO11" s="155">
        <f t="shared" si="4"/>
        <v>-81400</v>
      </c>
      <c r="AP11" s="154">
        <f t="shared" si="5"/>
        <v>-58400</v>
      </c>
      <c r="AQ11" s="154">
        <f t="shared" si="25"/>
        <v>-58400</v>
      </c>
    </row>
    <row r="12" spans="1:43" ht="14.4" x14ac:dyDescent="0.3">
      <c r="A12" s="21" t="s">
        <v>43</v>
      </c>
      <c r="B12" s="132">
        <v>268</v>
      </c>
      <c r="C12" s="95">
        <v>0</v>
      </c>
      <c r="D12" s="106">
        <v>52</v>
      </c>
      <c r="E12" s="101">
        <v>50</v>
      </c>
      <c r="F12" s="103">
        <f t="shared" si="6"/>
        <v>-2</v>
      </c>
      <c r="G12" s="111">
        <v>11</v>
      </c>
      <c r="H12" s="104">
        <v>9</v>
      </c>
      <c r="I12" s="105">
        <f t="shared" si="7"/>
        <v>-2</v>
      </c>
      <c r="J12" s="22">
        <f t="shared" si="0"/>
        <v>11</v>
      </c>
      <c r="K12" s="99">
        <f t="shared" si="0"/>
        <v>10</v>
      </c>
      <c r="L12" s="169">
        <f t="shared" si="8"/>
        <v>1</v>
      </c>
      <c r="M12" s="126">
        <f t="shared" si="26"/>
        <v>9</v>
      </c>
      <c r="N12" s="27">
        <v>11</v>
      </c>
      <c r="O12" s="119">
        <f t="shared" si="9"/>
        <v>306295</v>
      </c>
      <c r="P12" s="119">
        <f t="shared" si="10"/>
        <v>92501.09</v>
      </c>
      <c r="Q12" s="119">
        <f t="shared" si="1"/>
        <v>398796.08999999997</v>
      </c>
      <c r="R12" s="24">
        <f t="shared" si="2"/>
        <v>1.6224188790560472E-2</v>
      </c>
      <c r="S12" s="120">
        <f t="shared" si="27"/>
        <v>8</v>
      </c>
      <c r="T12" s="121">
        <f t="shared" si="11"/>
        <v>222760</v>
      </c>
      <c r="U12" s="121">
        <f t="shared" si="12"/>
        <v>67273.52</v>
      </c>
      <c r="V12" s="121">
        <f t="shared" si="13"/>
        <v>290033.52</v>
      </c>
      <c r="W12" s="122">
        <f t="shared" si="14"/>
        <v>290100</v>
      </c>
      <c r="X12" s="38">
        <f>W12+'проезд Лизе к бюджету 2018'!L13</f>
        <v>314400</v>
      </c>
      <c r="Y12" s="37" t="e">
        <f>#REF!+#REF!</f>
        <v>#REF!</v>
      </c>
      <c r="Z12" s="37" t="e">
        <f t="shared" si="15"/>
        <v>#REF!</v>
      </c>
      <c r="AA12" s="193">
        <v>269205</v>
      </c>
      <c r="AB12" s="193">
        <v>81495</v>
      </c>
      <c r="AC12" s="191">
        <f t="shared" si="16"/>
        <v>350700</v>
      </c>
      <c r="AD12" s="188">
        <f t="shared" si="17"/>
        <v>250605</v>
      </c>
      <c r="AE12" s="139">
        <v>1450</v>
      </c>
      <c r="AF12" s="140">
        <f t="shared" si="18"/>
        <v>1</v>
      </c>
      <c r="AG12" s="146">
        <v>5735.8</v>
      </c>
      <c r="AH12" s="141">
        <f t="shared" si="19"/>
        <v>269391</v>
      </c>
      <c r="AI12" s="143">
        <f t="shared" si="20"/>
        <v>186</v>
      </c>
      <c r="AJ12" s="125">
        <f>AF12-'проезд Лизе к бюджету 2018'!B13</f>
        <v>-1</v>
      </c>
      <c r="AK12" s="141">
        <f t="shared" si="21"/>
        <v>186</v>
      </c>
      <c r="AL12" s="141">
        <f t="shared" si="22"/>
        <v>-81495</v>
      </c>
      <c r="AM12" s="141">
        <f t="shared" si="23"/>
        <v>-81309</v>
      </c>
      <c r="AN12" s="155">
        <f t="shared" si="24"/>
        <v>200</v>
      </c>
      <c r="AO12" s="155">
        <f t="shared" si="4"/>
        <v>-81400</v>
      </c>
      <c r="AP12" s="154">
        <f t="shared" si="5"/>
        <v>-81200</v>
      </c>
      <c r="AQ12" s="154">
        <f t="shared" si="25"/>
        <v>-81200</v>
      </c>
    </row>
    <row r="13" spans="1:43" ht="14.4" x14ac:dyDescent="0.3">
      <c r="A13" s="21" t="s">
        <v>5</v>
      </c>
      <c r="B13" s="132">
        <v>323</v>
      </c>
      <c r="C13" s="95">
        <v>3</v>
      </c>
      <c r="D13" s="106">
        <v>59</v>
      </c>
      <c r="E13" s="101">
        <v>59</v>
      </c>
      <c r="F13" s="103">
        <f t="shared" si="6"/>
        <v>0</v>
      </c>
      <c r="G13" s="111">
        <v>16</v>
      </c>
      <c r="H13" s="104">
        <v>17</v>
      </c>
      <c r="I13" s="105">
        <f t="shared" si="7"/>
        <v>1</v>
      </c>
      <c r="J13" s="22">
        <f t="shared" si="0"/>
        <v>12</v>
      </c>
      <c r="K13" s="170">
        <f t="shared" si="0"/>
        <v>12</v>
      </c>
      <c r="L13" s="169">
        <f t="shared" si="8"/>
        <v>-5</v>
      </c>
      <c r="M13" s="126">
        <f t="shared" si="26"/>
        <v>12</v>
      </c>
      <c r="N13" s="27">
        <v>12</v>
      </c>
      <c r="O13" s="119">
        <f t="shared" si="9"/>
        <v>334140</v>
      </c>
      <c r="P13" s="119">
        <f t="shared" si="10"/>
        <v>100910.28</v>
      </c>
      <c r="Q13" s="119">
        <f t="shared" si="1"/>
        <v>435050.28</v>
      </c>
      <c r="R13" s="24">
        <f t="shared" si="2"/>
        <v>1.7699115044247787E-2</v>
      </c>
      <c r="S13" s="120">
        <f t="shared" si="27"/>
        <v>9</v>
      </c>
      <c r="T13" s="121">
        <f t="shared" si="11"/>
        <v>250605</v>
      </c>
      <c r="U13" s="121">
        <f t="shared" si="12"/>
        <v>75682.710000000006</v>
      </c>
      <c r="V13" s="121">
        <f t="shared" si="13"/>
        <v>326287.71000000002</v>
      </c>
      <c r="W13" s="122">
        <f t="shared" si="14"/>
        <v>326300</v>
      </c>
      <c r="X13" s="38">
        <f>W13+'проезд Лизе к бюджету 2018'!L14</f>
        <v>399000</v>
      </c>
      <c r="Y13" s="37" t="e">
        <f>#REF!+#REF!</f>
        <v>#REF!</v>
      </c>
      <c r="Z13" s="37" t="e">
        <f t="shared" si="15"/>
        <v>#REF!</v>
      </c>
      <c r="AA13" s="193">
        <v>306405</v>
      </c>
      <c r="AB13" s="193">
        <v>91695</v>
      </c>
      <c r="AC13" s="191">
        <f t="shared" si="16"/>
        <v>398100</v>
      </c>
      <c r="AD13" s="188">
        <f t="shared" si="17"/>
        <v>334140</v>
      </c>
      <c r="AE13" s="139">
        <v>2900</v>
      </c>
      <c r="AF13" s="181">
        <f t="shared" si="18"/>
        <v>2</v>
      </c>
      <c r="AG13" s="146">
        <v>8700</v>
      </c>
      <c r="AH13" s="141">
        <f t="shared" si="19"/>
        <v>368940</v>
      </c>
      <c r="AI13" s="143">
        <f t="shared" si="20"/>
        <v>62535</v>
      </c>
      <c r="AJ13" s="125">
        <f>AF13-'проезд Лизе к бюджету 2018'!B14</f>
        <v>0</v>
      </c>
      <c r="AK13" s="141">
        <f t="shared" si="21"/>
        <v>62535</v>
      </c>
      <c r="AL13" s="141">
        <f t="shared" si="22"/>
        <v>-91695</v>
      </c>
      <c r="AM13" s="141">
        <f t="shared" si="23"/>
        <v>-29160</v>
      </c>
      <c r="AN13" s="155">
        <f t="shared" si="24"/>
        <v>62600</v>
      </c>
      <c r="AO13" s="155">
        <f t="shared" si="4"/>
        <v>-91600</v>
      </c>
      <c r="AP13" s="154">
        <f t="shared" si="5"/>
        <v>-29000</v>
      </c>
      <c r="AQ13" s="154">
        <f t="shared" si="25"/>
        <v>-29000</v>
      </c>
    </row>
    <row r="14" spans="1:43" ht="14.4" x14ac:dyDescent="0.3">
      <c r="A14" s="21" t="s">
        <v>39</v>
      </c>
      <c r="B14" s="132">
        <v>326</v>
      </c>
      <c r="C14" s="95">
        <v>0</v>
      </c>
      <c r="D14" s="106">
        <v>39</v>
      </c>
      <c r="E14" s="101">
        <v>39</v>
      </c>
      <c r="F14" s="103">
        <f t="shared" si="6"/>
        <v>0</v>
      </c>
      <c r="G14" s="111">
        <v>9</v>
      </c>
      <c r="H14" s="104">
        <v>3</v>
      </c>
      <c r="I14" s="105">
        <f t="shared" si="7"/>
        <v>-6</v>
      </c>
      <c r="J14" s="22">
        <f t="shared" si="0"/>
        <v>8</v>
      </c>
      <c r="K14" s="99">
        <f t="shared" si="0"/>
        <v>8</v>
      </c>
      <c r="L14" s="169">
        <f t="shared" si="8"/>
        <v>5</v>
      </c>
      <c r="M14" s="126">
        <f t="shared" si="26"/>
        <v>3</v>
      </c>
      <c r="N14" s="27">
        <v>8</v>
      </c>
      <c r="O14" s="119">
        <f t="shared" si="9"/>
        <v>222760</v>
      </c>
      <c r="P14" s="119">
        <f t="shared" si="10"/>
        <v>67273.52</v>
      </c>
      <c r="Q14" s="119">
        <f t="shared" si="1"/>
        <v>290033.52</v>
      </c>
      <c r="R14" s="24">
        <f t="shared" si="2"/>
        <v>1.1799410029498525E-2</v>
      </c>
      <c r="S14" s="120">
        <f t="shared" si="27"/>
        <v>6</v>
      </c>
      <c r="T14" s="121">
        <f t="shared" si="11"/>
        <v>167070</v>
      </c>
      <c r="U14" s="121">
        <f t="shared" si="12"/>
        <v>50455.14</v>
      </c>
      <c r="V14" s="121">
        <f t="shared" si="13"/>
        <v>217525.14</v>
      </c>
      <c r="W14" s="122">
        <f t="shared" si="14"/>
        <v>217600</v>
      </c>
      <c r="X14" s="38">
        <f>W14+'проезд Лизе к бюджету 2018'!L15</f>
        <v>217600</v>
      </c>
      <c r="Y14" s="37" t="e">
        <f>#REF!+#REF!</f>
        <v>#REF!</v>
      </c>
      <c r="Z14" s="37" t="e">
        <f t="shared" si="15"/>
        <v>#REF!</v>
      </c>
      <c r="AA14" s="193">
        <v>55690</v>
      </c>
      <c r="AB14" s="193">
        <v>16910</v>
      </c>
      <c r="AC14" s="191">
        <f t="shared" si="16"/>
        <v>72600</v>
      </c>
      <c r="AD14" s="188">
        <f t="shared" si="17"/>
        <v>83535</v>
      </c>
      <c r="AE14" s="139"/>
      <c r="AF14" s="182">
        <f t="shared" si="18"/>
        <v>0</v>
      </c>
      <c r="AG14" s="146"/>
      <c r="AH14" s="141">
        <f t="shared" si="19"/>
        <v>83535</v>
      </c>
      <c r="AI14" s="143">
        <f t="shared" si="20"/>
        <v>27845</v>
      </c>
      <c r="AJ14" s="125">
        <f>AF14-'проезд Лизе к бюджету 2018'!B15</f>
        <v>0</v>
      </c>
      <c r="AK14" s="141">
        <f t="shared" si="21"/>
        <v>27845</v>
      </c>
      <c r="AL14" s="141">
        <f t="shared" si="22"/>
        <v>-16910</v>
      </c>
      <c r="AM14" s="141">
        <f t="shared" si="23"/>
        <v>10935</v>
      </c>
      <c r="AN14" s="155">
        <f t="shared" si="24"/>
        <v>27900.000000000004</v>
      </c>
      <c r="AO14" s="155">
        <f t="shared" si="4"/>
        <v>-16900</v>
      </c>
      <c r="AP14" s="154">
        <f t="shared" si="5"/>
        <v>11000.000000000004</v>
      </c>
      <c r="AQ14" s="154">
        <f t="shared" si="25"/>
        <v>11000.000000000004</v>
      </c>
    </row>
    <row r="15" spans="1:43" ht="14.4" x14ac:dyDescent="0.3">
      <c r="A15" s="21" t="s">
        <v>12</v>
      </c>
      <c r="B15" s="132">
        <v>327</v>
      </c>
      <c r="C15" s="95">
        <v>0</v>
      </c>
      <c r="D15" s="106">
        <v>62</v>
      </c>
      <c r="E15" s="101">
        <v>68</v>
      </c>
      <c r="F15" s="103">
        <f t="shared" si="6"/>
        <v>6</v>
      </c>
      <c r="G15" s="111">
        <v>8</v>
      </c>
      <c r="H15" s="104">
        <v>12</v>
      </c>
      <c r="I15" s="105">
        <f t="shared" si="7"/>
        <v>4</v>
      </c>
      <c r="J15" s="22">
        <f t="shared" si="0"/>
        <v>13</v>
      </c>
      <c r="K15" s="99">
        <f t="shared" si="0"/>
        <v>14</v>
      </c>
      <c r="L15" s="169">
        <f t="shared" si="8"/>
        <v>2</v>
      </c>
      <c r="M15" s="126">
        <f t="shared" si="26"/>
        <v>12</v>
      </c>
      <c r="N15" s="25">
        <v>8</v>
      </c>
      <c r="O15" s="119">
        <f t="shared" si="9"/>
        <v>222760</v>
      </c>
      <c r="P15" s="119">
        <f t="shared" si="10"/>
        <v>67273.52</v>
      </c>
      <c r="Q15" s="119">
        <f t="shared" si="1"/>
        <v>290033.52</v>
      </c>
      <c r="R15" s="24">
        <f t="shared" si="2"/>
        <v>1.1799410029498525E-2</v>
      </c>
      <c r="S15" s="120">
        <f t="shared" si="27"/>
        <v>6</v>
      </c>
      <c r="T15" s="121">
        <f t="shared" si="11"/>
        <v>167070</v>
      </c>
      <c r="U15" s="121">
        <f t="shared" si="12"/>
        <v>50455.14</v>
      </c>
      <c r="V15" s="121">
        <f t="shared" si="13"/>
        <v>217525.14</v>
      </c>
      <c r="W15" s="122">
        <f t="shared" si="14"/>
        <v>217600</v>
      </c>
      <c r="X15" s="38">
        <f>W15+'проезд Лизе к бюджету 2018'!L16</f>
        <v>290300</v>
      </c>
      <c r="Y15" s="37" t="e">
        <f>#REF!+#REF!</f>
        <v>#REF!</v>
      </c>
      <c r="Z15" s="37" t="e">
        <f t="shared" si="15"/>
        <v>#REF!</v>
      </c>
      <c r="AA15" s="193">
        <v>306405</v>
      </c>
      <c r="AB15" s="193">
        <v>92695</v>
      </c>
      <c r="AC15" s="191">
        <f t="shared" si="16"/>
        <v>399100</v>
      </c>
      <c r="AD15" s="188">
        <f t="shared" si="17"/>
        <v>334140</v>
      </c>
      <c r="AE15" s="139">
        <v>4350</v>
      </c>
      <c r="AF15" s="182">
        <f t="shared" si="18"/>
        <v>3</v>
      </c>
      <c r="AG15" s="146">
        <v>17332.900000000001</v>
      </c>
      <c r="AH15" s="141">
        <f t="shared" si="19"/>
        <v>390623</v>
      </c>
      <c r="AI15" s="143">
        <f t="shared" si="20"/>
        <v>84218</v>
      </c>
      <c r="AJ15" s="125">
        <f>AF15-'проезд Лизе к бюджету 2018'!B16</f>
        <v>2</v>
      </c>
      <c r="AK15" s="141">
        <f t="shared" si="21"/>
        <v>84218</v>
      </c>
      <c r="AL15" s="141">
        <f t="shared" si="22"/>
        <v>-92695</v>
      </c>
      <c r="AM15" s="141">
        <f t="shared" si="23"/>
        <v>-8477</v>
      </c>
      <c r="AN15" s="155">
        <f t="shared" si="24"/>
        <v>84300</v>
      </c>
      <c r="AO15" s="155">
        <f t="shared" si="4"/>
        <v>-92600</v>
      </c>
      <c r="AP15" s="154">
        <f t="shared" si="5"/>
        <v>-8300</v>
      </c>
      <c r="AQ15" s="157"/>
    </row>
    <row r="16" spans="1:43" ht="14.4" x14ac:dyDescent="0.3">
      <c r="A16" s="21" t="s">
        <v>13</v>
      </c>
      <c r="B16" s="132">
        <v>328</v>
      </c>
      <c r="C16" s="95">
        <v>0</v>
      </c>
      <c r="D16" s="106">
        <v>56</v>
      </c>
      <c r="E16" s="101">
        <v>56</v>
      </c>
      <c r="F16" s="103">
        <f t="shared" si="6"/>
        <v>0</v>
      </c>
      <c r="G16" s="111">
        <v>13</v>
      </c>
      <c r="H16" s="104">
        <v>11</v>
      </c>
      <c r="I16" s="105">
        <f t="shared" si="7"/>
        <v>-2</v>
      </c>
      <c r="J16" s="22">
        <f t="shared" si="0"/>
        <v>12</v>
      </c>
      <c r="K16" s="99">
        <f t="shared" si="0"/>
        <v>12</v>
      </c>
      <c r="L16" s="169">
        <f t="shared" si="8"/>
        <v>1</v>
      </c>
      <c r="M16" s="126">
        <f t="shared" si="26"/>
        <v>11</v>
      </c>
      <c r="N16" s="27">
        <v>12</v>
      </c>
      <c r="O16" s="119">
        <f t="shared" si="9"/>
        <v>334140</v>
      </c>
      <c r="P16" s="119">
        <f t="shared" si="10"/>
        <v>100910.28</v>
      </c>
      <c r="Q16" s="119">
        <f t="shared" si="1"/>
        <v>435050.28</v>
      </c>
      <c r="R16" s="24">
        <f t="shared" si="2"/>
        <v>1.7699115044247787E-2</v>
      </c>
      <c r="S16" s="120">
        <f t="shared" si="27"/>
        <v>9</v>
      </c>
      <c r="T16" s="121">
        <f t="shared" si="11"/>
        <v>250605</v>
      </c>
      <c r="U16" s="121">
        <f t="shared" si="12"/>
        <v>75682.710000000006</v>
      </c>
      <c r="V16" s="121">
        <f t="shared" si="13"/>
        <v>326287.71000000002</v>
      </c>
      <c r="W16" s="122">
        <f t="shared" si="14"/>
        <v>326300</v>
      </c>
      <c r="X16" s="38">
        <f>W16+'проезд Лизе к бюджету 2018'!L17</f>
        <v>350600</v>
      </c>
      <c r="Y16" s="37" t="e">
        <f>#REF!+#REF!</f>
        <v>#REF!</v>
      </c>
      <c r="Z16" s="37" t="e">
        <f>X16-Y16</f>
        <v>#REF!</v>
      </c>
      <c r="AA16" s="193">
        <v>241360</v>
      </c>
      <c r="AB16" s="193">
        <v>73040</v>
      </c>
      <c r="AC16" s="191">
        <f t="shared" si="16"/>
        <v>314400</v>
      </c>
      <c r="AD16" s="188">
        <f t="shared" si="17"/>
        <v>306295</v>
      </c>
      <c r="AE16" s="139">
        <v>1450</v>
      </c>
      <c r="AF16" s="182">
        <f t="shared" si="18"/>
        <v>1</v>
      </c>
      <c r="AG16" s="146">
        <v>5675.4</v>
      </c>
      <c r="AH16" s="141">
        <f t="shared" si="19"/>
        <v>325021</v>
      </c>
      <c r="AI16" s="143">
        <f t="shared" si="20"/>
        <v>83661</v>
      </c>
      <c r="AJ16" s="125">
        <f>AF16-'проезд Лизе к бюджету 2018'!B17</f>
        <v>0</v>
      </c>
      <c r="AK16" s="141">
        <f t="shared" si="21"/>
        <v>83661</v>
      </c>
      <c r="AL16" s="141">
        <f t="shared" si="22"/>
        <v>-73040</v>
      </c>
      <c r="AM16" s="141">
        <f t="shared" si="23"/>
        <v>10621</v>
      </c>
      <c r="AN16" s="155">
        <f t="shared" si="24"/>
        <v>83699.999999999985</v>
      </c>
      <c r="AO16" s="155">
        <f t="shared" si="4"/>
        <v>-73000</v>
      </c>
      <c r="AP16" s="154">
        <f t="shared" si="5"/>
        <v>10699.999999999985</v>
      </c>
      <c r="AQ16" s="154">
        <f t="shared" si="25"/>
        <v>10699.999999999985</v>
      </c>
    </row>
    <row r="17" spans="1:43" ht="14.4" x14ac:dyDescent="0.3">
      <c r="A17" s="21" t="s">
        <v>14</v>
      </c>
      <c r="B17" s="132">
        <v>329</v>
      </c>
      <c r="C17" s="95">
        <v>0</v>
      </c>
      <c r="D17" s="114">
        <v>58</v>
      </c>
      <c r="E17" s="115">
        <v>53</v>
      </c>
      <c r="F17" s="103">
        <f t="shared" si="6"/>
        <v>-5</v>
      </c>
      <c r="G17" s="112">
        <v>13</v>
      </c>
      <c r="H17" s="109">
        <v>10</v>
      </c>
      <c r="I17" s="105">
        <f t="shared" si="7"/>
        <v>-3</v>
      </c>
      <c r="J17" s="22">
        <f t="shared" si="0"/>
        <v>12</v>
      </c>
      <c r="K17" s="99">
        <f t="shared" si="0"/>
        <v>11</v>
      </c>
      <c r="L17" s="169">
        <f t="shared" si="8"/>
        <v>1</v>
      </c>
      <c r="M17" s="126">
        <f t="shared" si="26"/>
        <v>10</v>
      </c>
      <c r="N17" s="27">
        <v>12</v>
      </c>
      <c r="O17" s="119">
        <f t="shared" si="9"/>
        <v>334140</v>
      </c>
      <c r="P17" s="119">
        <f t="shared" si="10"/>
        <v>100910.28</v>
      </c>
      <c r="Q17" s="119">
        <f t="shared" si="1"/>
        <v>435050.28</v>
      </c>
      <c r="R17" s="24">
        <f t="shared" si="2"/>
        <v>1.7699115044247787E-2</v>
      </c>
      <c r="S17" s="120">
        <f t="shared" si="27"/>
        <v>9</v>
      </c>
      <c r="T17" s="121">
        <f t="shared" si="11"/>
        <v>250605</v>
      </c>
      <c r="U17" s="121">
        <f t="shared" si="12"/>
        <v>75682.710000000006</v>
      </c>
      <c r="V17" s="121">
        <f t="shared" si="13"/>
        <v>326287.71000000002</v>
      </c>
      <c r="W17" s="122">
        <f t="shared" si="14"/>
        <v>326300</v>
      </c>
      <c r="X17" s="38">
        <f>W17+'проезд Лизе к бюджету 2018'!L18</f>
        <v>350600</v>
      </c>
      <c r="Y17" s="37" t="e">
        <f>#REF!+#REF!</f>
        <v>#REF!</v>
      </c>
      <c r="Z17" s="37" t="e">
        <f t="shared" ref="Z17:Z75" si="28">X17-Y17</f>
        <v>#REF!</v>
      </c>
      <c r="AA17" s="193">
        <v>241360</v>
      </c>
      <c r="AB17" s="193">
        <v>73040</v>
      </c>
      <c r="AC17" s="191">
        <f t="shared" si="16"/>
        <v>314400</v>
      </c>
      <c r="AD17" s="188">
        <f t="shared" si="17"/>
        <v>278450</v>
      </c>
      <c r="AE17" s="139"/>
      <c r="AF17" s="182">
        <f t="shared" si="18"/>
        <v>0</v>
      </c>
      <c r="AG17" s="146"/>
      <c r="AH17" s="141">
        <f t="shared" si="19"/>
        <v>278450</v>
      </c>
      <c r="AI17" s="143">
        <f t="shared" si="20"/>
        <v>37090</v>
      </c>
      <c r="AJ17" s="125">
        <f>AF17-'проезд Лизе к бюджету 2018'!B18</f>
        <v>-1</v>
      </c>
      <c r="AK17" s="141">
        <f t="shared" si="21"/>
        <v>37090</v>
      </c>
      <c r="AL17" s="141">
        <f t="shared" si="22"/>
        <v>-73040</v>
      </c>
      <c r="AM17" s="141">
        <f t="shared" si="23"/>
        <v>-35950</v>
      </c>
      <c r="AN17" s="155">
        <f t="shared" si="24"/>
        <v>37100</v>
      </c>
      <c r="AO17" s="155">
        <f t="shared" si="4"/>
        <v>-73000</v>
      </c>
      <c r="AP17" s="154">
        <f t="shared" si="5"/>
        <v>-35900</v>
      </c>
      <c r="AQ17" s="154">
        <f t="shared" si="25"/>
        <v>-35900</v>
      </c>
    </row>
    <row r="18" spans="1:43" ht="14.4" x14ac:dyDescent="0.3">
      <c r="A18" s="21" t="s">
        <v>47</v>
      </c>
      <c r="B18" s="132">
        <v>330</v>
      </c>
      <c r="C18" s="95">
        <v>1</v>
      </c>
      <c r="D18" s="106">
        <v>57</v>
      </c>
      <c r="E18" s="101">
        <v>53</v>
      </c>
      <c r="F18" s="103">
        <f t="shared" si="6"/>
        <v>-4</v>
      </c>
      <c r="G18" s="111">
        <v>10</v>
      </c>
      <c r="H18" s="104">
        <v>9</v>
      </c>
      <c r="I18" s="105">
        <f t="shared" si="7"/>
        <v>-1</v>
      </c>
      <c r="J18" s="22">
        <f t="shared" si="0"/>
        <v>12</v>
      </c>
      <c r="K18" s="99">
        <f t="shared" si="0"/>
        <v>11</v>
      </c>
      <c r="L18" s="169">
        <f t="shared" si="8"/>
        <v>2</v>
      </c>
      <c r="M18" s="126">
        <f t="shared" si="26"/>
        <v>9</v>
      </c>
      <c r="N18" s="25">
        <v>10</v>
      </c>
      <c r="O18" s="119">
        <f t="shared" si="9"/>
        <v>278450</v>
      </c>
      <c r="P18" s="119">
        <f t="shared" si="10"/>
        <v>84091.9</v>
      </c>
      <c r="Q18" s="119">
        <f t="shared" si="1"/>
        <v>362541.9</v>
      </c>
      <c r="R18" s="24">
        <f t="shared" si="2"/>
        <v>1.4749262536873156E-2</v>
      </c>
      <c r="S18" s="120">
        <f t="shared" si="27"/>
        <v>7</v>
      </c>
      <c r="T18" s="121">
        <f t="shared" si="11"/>
        <v>194915</v>
      </c>
      <c r="U18" s="121">
        <f t="shared" si="12"/>
        <v>58864.33</v>
      </c>
      <c r="V18" s="121">
        <f t="shared" si="13"/>
        <v>253779.33000000002</v>
      </c>
      <c r="W18" s="122">
        <f t="shared" si="14"/>
        <v>253799.99999999997</v>
      </c>
      <c r="X18" s="38">
        <f>W18+'проезд Лизе к бюджету 2018'!L19</f>
        <v>302300</v>
      </c>
      <c r="Y18" s="37" t="e">
        <f>#REF!+#REF!</f>
        <v>#REF!</v>
      </c>
      <c r="Z18" s="37" t="e">
        <f t="shared" si="28"/>
        <v>#REF!</v>
      </c>
      <c r="AA18" s="193">
        <v>259960</v>
      </c>
      <c r="AB18" s="193">
        <v>78640</v>
      </c>
      <c r="AC18" s="191">
        <f t="shared" si="16"/>
        <v>338600</v>
      </c>
      <c r="AD18" s="188">
        <f t="shared" si="17"/>
        <v>250605</v>
      </c>
      <c r="AE18" s="139">
        <v>2900</v>
      </c>
      <c r="AF18" s="182">
        <f t="shared" si="18"/>
        <v>2</v>
      </c>
      <c r="AG18" s="146">
        <v>11460.4</v>
      </c>
      <c r="AH18" s="141">
        <f t="shared" si="19"/>
        <v>288166</v>
      </c>
      <c r="AI18" s="143">
        <f t="shared" si="20"/>
        <v>28206</v>
      </c>
      <c r="AJ18" s="125">
        <f>AF18-'проезд Лизе к бюджету 2018'!B19</f>
        <v>1</v>
      </c>
      <c r="AK18" s="141">
        <f t="shared" si="21"/>
        <v>28206</v>
      </c>
      <c r="AL18" s="141">
        <f t="shared" si="22"/>
        <v>-78640</v>
      </c>
      <c r="AM18" s="141">
        <f t="shared" si="23"/>
        <v>-50434</v>
      </c>
      <c r="AN18" s="155">
        <f t="shared" si="24"/>
        <v>28300</v>
      </c>
      <c r="AO18" s="155">
        <f t="shared" si="4"/>
        <v>-78600</v>
      </c>
      <c r="AP18" s="154">
        <f t="shared" si="5"/>
        <v>-50300</v>
      </c>
      <c r="AQ18" s="154">
        <f t="shared" si="25"/>
        <v>-50300</v>
      </c>
    </row>
    <row r="19" spans="1:43" ht="14.4" x14ac:dyDescent="0.3">
      <c r="A19" s="21" t="s">
        <v>48</v>
      </c>
      <c r="B19" s="132">
        <v>331</v>
      </c>
      <c r="C19" s="95">
        <v>1</v>
      </c>
      <c r="D19" s="106">
        <v>40</v>
      </c>
      <c r="E19" s="101">
        <v>40</v>
      </c>
      <c r="F19" s="103">
        <f t="shared" si="6"/>
        <v>0</v>
      </c>
      <c r="G19" s="111">
        <v>8</v>
      </c>
      <c r="H19" s="104">
        <v>8</v>
      </c>
      <c r="I19" s="105">
        <f t="shared" si="7"/>
        <v>0</v>
      </c>
      <c r="J19" s="22">
        <f t="shared" si="0"/>
        <v>8</v>
      </c>
      <c r="K19" s="99">
        <f t="shared" si="0"/>
        <v>8</v>
      </c>
      <c r="L19" s="169">
        <f t="shared" si="8"/>
        <v>0</v>
      </c>
      <c r="M19" s="126">
        <f t="shared" si="26"/>
        <v>8</v>
      </c>
      <c r="N19" s="25">
        <v>8</v>
      </c>
      <c r="O19" s="119">
        <f t="shared" si="9"/>
        <v>222760</v>
      </c>
      <c r="P19" s="119">
        <f t="shared" si="10"/>
        <v>67273.52</v>
      </c>
      <c r="Q19" s="119">
        <f t="shared" si="1"/>
        <v>290033.52</v>
      </c>
      <c r="R19" s="24">
        <f t="shared" si="2"/>
        <v>1.1799410029498525E-2</v>
      </c>
      <c r="S19" s="120">
        <f t="shared" si="27"/>
        <v>6</v>
      </c>
      <c r="T19" s="121">
        <f t="shared" si="11"/>
        <v>167070</v>
      </c>
      <c r="U19" s="121">
        <f t="shared" si="12"/>
        <v>50455.14</v>
      </c>
      <c r="V19" s="121">
        <f t="shared" si="13"/>
        <v>217525.14</v>
      </c>
      <c r="W19" s="122">
        <f t="shared" si="14"/>
        <v>217600</v>
      </c>
      <c r="X19" s="38">
        <f>W19+'проезд Лизе к бюджету 2018'!L20</f>
        <v>241900</v>
      </c>
      <c r="Y19" s="37" t="e">
        <f>#REF!+#REF!</f>
        <v>#REF!</v>
      </c>
      <c r="Z19" s="37" t="e">
        <f t="shared" si="28"/>
        <v>#REF!</v>
      </c>
      <c r="AA19" s="193">
        <v>157825</v>
      </c>
      <c r="AB19" s="193">
        <v>47875</v>
      </c>
      <c r="AC19" s="191">
        <f t="shared" si="16"/>
        <v>205700</v>
      </c>
      <c r="AD19" s="188">
        <f t="shared" si="17"/>
        <v>222760</v>
      </c>
      <c r="AE19" s="139">
        <v>1450</v>
      </c>
      <c r="AF19" s="182">
        <f t="shared" si="18"/>
        <v>1</v>
      </c>
      <c r="AG19" s="146">
        <v>5717.5</v>
      </c>
      <c r="AH19" s="141">
        <f t="shared" si="19"/>
        <v>241528</v>
      </c>
      <c r="AI19" s="143">
        <f t="shared" si="20"/>
        <v>83703</v>
      </c>
      <c r="AJ19" s="125">
        <f>AF19-'проезд Лизе к бюджету 2018'!B20</f>
        <v>0</v>
      </c>
      <c r="AK19" s="141">
        <f t="shared" si="21"/>
        <v>83703</v>
      </c>
      <c r="AL19" s="141">
        <f t="shared" si="22"/>
        <v>-47875</v>
      </c>
      <c r="AM19" s="141">
        <f t="shared" si="23"/>
        <v>35828</v>
      </c>
      <c r="AN19" s="155">
        <f t="shared" si="24"/>
        <v>83800</v>
      </c>
      <c r="AO19" s="155">
        <f t="shared" si="4"/>
        <v>-47800</v>
      </c>
      <c r="AP19" s="154">
        <f t="shared" si="5"/>
        <v>36000</v>
      </c>
      <c r="AQ19" s="154">
        <f t="shared" si="25"/>
        <v>36000</v>
      </c>
    </row>
    <row r="20" spans="1:43" ht="14.4" x14ac:dyDescent="0.3">
      <c r="A20" s="21" t="s">
        <v>0</v>
      </c>
      <c r="B20" s="132">
        <v>332</v>
      </c>
      <c r="C20" s="95">
        <v>1</v>
      </c>
      <c r="D20" s="106">
        <v>69</v>
      </c>
      <c r="E20" s="101">
        <v>67</v>
      </c>
      <c r="F20" s="103">
        <f t="shared" si="6"/>
        <v>-2</v>
      </c>
      <c r="G20" s="111">
        <v>11</v>
      </c>
      <c r="H20" s="104">
        <v>13</v>
      </c>
      <c r="I20" s="105">
        <f t="shared" si="7"/>
        <v>2</v>
      </c>
      <c r="J20" s="22">
        <f t="shared" si="0"/>
        <v>14</v>
      </c>
      <c r="K20" s="99">
        <f t="shared" si="0"/>
        <v>14</v>
      </c>
      <c r="L20" s="169">
        <f t="shared" si="8"/>
        <v>1</v>
      </c>
      <c r="M20" s="126">
        <f t="shared" si="26"/>
        <v>13</v>
      </c>
      <c r="N20" s="27">
        <v>11</v>
      </c>
      <c r="O20" s="119">
        <f t="shared" si="9"/>
        <v>306295</v>
      </c>
      <c r="P20" s="119">
        <f t="shared" si="10"/>
        <v>92501.09</v>
      </c>
      <c r="Q20" s="119">
        <f t="shared" si="1"/>
        <v>398796.08999999997</v>
      </c>
      <c r="R20" s="24">
        <f t="shared" si="2"/>
        <v>1.6224188790560472E-2</v>
      </c>
      <c r="S20" s="120">
        <f t="shared" si="27"/>
        <v>8</v>
      </c>
      <c r="T20" s="121">
        <f t="shared" si="11"/>
        <v>222760</v>
      </c>
      <c r="U20" s="121">
        <f t="shared" si="12"/>
        <v>67273.52</v>
      </c>
      <c r="V20" s="121">
        <f t="shared" si="13"/>
        <v>290033.52</v>
      </c>
      <c r="W20" s="122">
        <f t="shared" si="14"/>
        <v>290100</v>
      </c>
      <c r="X20" s="38">
        <f>W20+'проезд Лизе к бюджету 2018'!L21</f>
        <v>290100</v>
      </c>
      <c r="Y20" s="37" t="e">
        <f>#REF!+#REF!</f>
        <v>#REF!</v>
      </c>
      <c r="Z20" s="37" t="e">
        <f t="shared" si="28"/>
        <v>#REF!</v>
      </c>
      <c r="AA20" s="193">
        <v>278450</v>
      </c>
      <c r="AB20" s="193">
        <v>84150</v>
      </c>
      <c r="AC20" s="191">
        <f t="shared" si="16"/>
        <v>362600</v>
      </c>
      <c r="AD20" s="188">
        <f t="shared" si="17"/>
        <v>361985</v>
      </c>
      <c r="AE20" s="139"/>
      <c r="AF20" s="182">
        <f t="shared" si="18"/>
        <v>0</v>
      </c>
      <c r="AG20" s="146"/>
      <c r="AH20" s="141">
        <f t="shared" si="19"/>
        <v>361985</v>
      </c>
      <c r="AI20" s="143">
        <f t="shared" si="20"/>
        <v>83535</v>
      </c>
      <c r="AJ20" s="125">
        <f>AF20-'проезд Лизе к бюджету 2018'!B21</f>
        <v>0</v>
      </c>
      <c r="AK20" s="141">
        <f t="shared" si="21"/>
        <v>83535</v>
      </c>
      <c r="AL20" s="141">
        <f t="shared" si="22"/>
        <v>-84150</v>
      </c>
      <c r="AM20" s="141">
        <f t="shared" si="23"/>
        <v>-615</v>
      </c>
      <c r="AN20" s="155">
        <f t="shared" si="24"/>
        <v>83600</v>
      </c>
      <c r="AO20" s="155">
        <f t="shared" si="4"/>
        <v>-84100</v>
      </c>
      <c r="AP20" s="156">
        <f t="shared" si="5"/>
        <v>-500</v>
      </c>
      <c r="AQ20" s="157"/>
    </row>
    <row r="21" spans="1:43" ht="14.4" x14ac:dyDescent="0.3">
      <c r="A21" s="21" t="s">
        <v>1</v>
      </c>
      <c r="B21" s="132">
        <v>333</v>
      </c>
      <c r="C21" s="95">
        <v>4</v>
      </c>
      <c r="D21" s="106">
        <v>72</v>
      </c>
      <c r="E21" s="101">
        <v>91</v>
      </c>
      <c r="F21" s="103">
        <f t="shared" si="6"/>
        <v>19</v>
      </c>
      <c r="G21" s="111">
        <v>24</v>
      </c>
      <c r="H21" s="104">
        <v>18</v>
      </c>
      <c r="I21" s="105">
        <f t="shared" si="7"/>
        <v>-6</v>
      </c>
      <c r="J21" s="22">
        <f t="shared" si="0"/>
        <v>15</v>
      </c>
      <c r="K21" s="99">
        <f t="shared" si="0"/>
        <v>19</v>
      </c>
      <c r="L21" s="169">
        <f t="shared" si="8"/>
        <v>1</v>
      </c>
      <c r="M21" s="126">
        <f t="shared" si="26"/>
        <v>18</v>
      </c>
      <c r="N21" s="27">
        <v>4</v>
      </c>
      <c r="O21" s="119">
        <f t="shared" si="9"/>
        <v>111380</v>
      </c>
      <c r="P21" s="119">
        <f t="shared" si="10"/>
        <v>33636.76</v>
      </c>
      <c r="Q21" s="119">
        <f t="shared" si="1"/>
        <v>145016.76</v>
      </c>
      <c r="R21" s="24">
        <f t="shared" si="2"/>
        <v>5.8997050147492625E-3</v>
      </c>
      <c r="S21" s="120">
        <f t="shared" si="27"/>
        <v>3</v>
      </c>
      <c r="T21" s="121">
        <f t="shared" si="11"/>
        <v>83535</v>
      </c>
      <c r="U21" s="121">
        <f t="shared" si="12"/>
        <v>25227.57</v>
      </c>
      <c r="V21" s="121">
        <f t="shared" si="13"/>
        <v>108762.57</v>
      </c>
      <c r="W21" s="122">
        <f t="shared" si="14"/>
        <v>108800</v>
      </c>
      <c r="X21" s="38">
        <f>W21+'проезд Лизе к бюджету 2018'!L22</f>
        <v>108800</v>
      </c>
      <c r="Y21" s="37" t="e">
        <f>#REF!+#REF!</f>
        <v>#REF!</v>
      </c>
      <c r="Z21" s="37" t="e">
        <f t="shared" si="28"/>
        <v>#REF!</v>
      </c>
      <c r="AA21" s="193">
        <v>278450</v>
      </c>
      <c r="AB21" s="193">
        <v>84150</v>
      </c>
      <c r="AC21" s="191">
        <f t="shared" si="16"/>
        <v>362600</v>
      </c>
      <c r="AD21" s="188">
        <f t="shared" si="17"/>
        <v>501210</v>
      </c>
      <c r="AE21" s="139"/>
      <c r="AF21" s="182">
        <f t="shared" si="18"/>
        <v>0</v>
      </c>
      <c r="AG21" s="146"/>
      <c r="AH21" s="141">
        <f t="shared" si="19"/>
        <v>501210</v>
      </c>
      <c r="AI21" s="143">
        <f t="shared" si="20"/>
        <v>222760</v>
      </c>
      <c r="AJ21" s="125">
        <f>AF21-'проезд Лизе к бюджету 2018'!B22</f>
        <v>0</v>
      </c>
      <c r="AK21" s="141">
        <f t="shared" si="21"/>
        <v>222760</v>
      </c>
      <c r="AL21" s="141">
        <f t="shared" si="22"/>
        <v>-84150</v>
      </c>
      <c r="AM21" s="141">
        <f t="shared" si="23"/>
        <v>138610</v>
      </c>
      <c r="AN21" s="155">
        <f t="shared" si="24"/>
        <v>222799.99999999997</v>
      </c>
      <c r="AO21" s="155">
        <f t="shared" si="4"/>
        <v>-84100</v>
      </c>
      <c r="AP21" s="154">
        <f t="shared" si="5"/>
        <v>138699.99999999997</v>
      </c>
      <c r="AQ21" s="154">
        <f t="shared" si="25"/>
        <v>138699.99999999997</v>
      </c>
    </row>
    <row r="22" spans="1:43" ht="14.4" x14ac:dyDescent="0.3">
      <c r="A22" s="21" t="s">
        <v>2</v>
      </c>
      <c r="B22" s="132">
        <v>334</v>
      </c>
      <c r="C22" s="95">
        <v>2</v>
      </c>
      <c r="D22" s="106">
        <v>39</v>
      </c>
      <c r="E22" s="101">
        <v>36</v>
      </c>
      <c r="F22" s="103">
        <f t="shared" si="6"/>
        <v>-3</v>
      </c>
      <c r="G22" s="111">
        <v>8</v>
      </c>
      <c r="H22" s="104">
        <v>5</v>
      </c>
      <c r="I22" s="105">
        <f t="shared" si="7"/>
        <v>-3</v>
      </c>
      <c r="J22" s="22">
        <f t="shared" si="0"/>
        <v>8</v>
      </c>
      <c r="K22" s="99">
        <f t="shared" si="0"/>
        <v>8</v>
      </c>
      <c r="L22" s="169">
        <f t="shared" si="8"/>
        <v>3</v>
      </c>
      <c r="M22" s="126">
        <f t="shared" si="26"/>
        <v>5</v>
      </c>
      <c r="N22" s="25">
        <v>8</v>
      </c>
      <c r="O22" s="119">
        <f t="shared" si="9"/>
        <v>222760</v>
      </c>
      <c r="P22" s="119">
        <f t="shared" si="10"/>
        <v>67273.52</v>
      </c>
      <c r="Q22" s="119">
        <f t="shared" si="1"/>
        <v>290033.52</v>
      </c>
      <c r="R22" s="24">
        <f t="shared" si="2"/>
        <v>1.1799410029498525E-2</v>
      </c>
      <c r="S22" s="120">
        <f t="shared" si="27"/>
        <v>6</v>
      </c>
      <c r="T22" s="121">
        <f t="shared" si="11"/>
        <v>167070</v>
      </c>
      <c r="U22" s="121">
        <f t="shared" si="12"/>
        <v>50455.14</v>
      </c>
      <c r="V22" s="121">
        <f t="shared" si="13"/>
        <v>217525.14</v>
      </c>
      <c r="W22" s="122">
        <f t="shared" si="14"/>
        <v>217600</v>
      </c>
      <c r="X22" s="38">
        <f>W22+'проезд Лизе к бюджету 2018'!L23</f>
        <v>290300</v>
      </c>
      <c r="Y22" s="37" t="e">
        <f>#REF!+#REF!</f>
        <v>#REF!</v>
      </c>
      <c r="Z22" s="37" t="e">
        <f t="shared" si="28"/>
        <v>#REF!</v>
      </c>
      <c r="AA22" s="193">
        <v>167180</v>
      </c>
      <c r="AB22" s="193">
        <v>50620</v>
      </c>
      <c r="AC22" s="191">
        <f t="shared" si="16"/>
        <v>217800</v>
      </c>
      <c r="AD22" s="188">
        <f t="shared" si="17"/>
        <v>139225</v>
      </c>
      <c r="AE22" s="139">
        <v>4350</v>
      </c>
      <c r="AF22" s="182">
        <v>4</v>
      </c>
      <c r="AG22" s="146">
        <v>17353.3</v>
      </c>
      <c r="AH22" s="141">
        <f t="shared" si="19"/>
        <v>208779</v>
      </c>
      <c r="AI22" s="143">
        <f t="shared" si="20"/>
        <v>41599</v>
      </c>
      <c r="AJ22" s="125">
        <f>AF22-'проезд Лизе к бюджету 2018'!B23</f>
        <v>2</v>
      </c>
      <c r="AK22" s="141">
        <f t="shared" si="21"/>
        <v>41599</v>
      </c>
      <c r="AL22" s="141">
        <f t="shared" si="22"/>
        <v>-50620</v>
      </c>
      <c r="AM22" s="141">
        <f t="shared" si="23"/>
        <v>-9021</v>
      </c>
      <c r="AN22" s="155">
        <f t="shared" si="24"/>
        <v>41600</v>
      </c>
      <c r="AO22" s="155">
        <f t="shared" si="4"/>
        <v>-50600</v>
      </c>
      <c r="AP22" s="154">
        <f t="shared" si="5"/>
        <v>-9000</v>
      </c>
      <c r="AQ22" s="154">
        <f t="shared" si="25"/>
        <v>-9000</v>
      </c>
    </row>
    <row r="23" spans="1:43" ht="14.4" x14ac:dyDescent="0.3">
      <c r="A23" s="21" t="s">
        <v>3</v>
      </c>
      <c r="B23" s="132">
        <v>336</v>
      </c>
      <c r="C23" s="95">
        <v>1</v>
      </c>
      <c r="D23" s="106"/>
      <c r="E23" s="101">
        <v>34</v>
      </c>
      <c r="F23" s="103">
        <f t="shared" si="6"/>
        <v>34</v>
      </c>
      <c r="G23" s="111"/>
      <c r="H23" s="104">
        <v>10</v>
      </c>
      <c r="I23" s="105">
        <f t="shared" si="7"/>
        <v>10</v>
      </c>
      <c r="J23" s="22">
        <f t="shared" si="0"/>
        <v>0</v>
      </c>
      <c r="K23" s="170">
        <f t="shared" si="0"/>
        <v>7</v>
      </c>
      <c r="L23" s="169">
        <f t="shared" si="8"/>
        <v>-3</v>
      </c>
      <c r="M23" s="126">
        <f t="shared" si="26"/>
        <v>7</v>
      </c>
      <c r="N23" s="27"/>
      <c r="O23" s="119">
        <f t="shared" si="9"/>
        <v>0</v>
      </c>
      <c r="P23" s="119">
        <f t="shared" si="10"/>
        <v>0</v>
      </c>
      <c r="Q23" s="119">
        <f t="shared" si="1"/>
        <v>0</v>
      </c>
      <c r="R23" s="24">
        <f t="shared" si="2"/>
        <v>0</v>
      </c>
      <c r="S23" s="120">
        <f t="shared" si="27"/>
        <v>0</v>
      </c>
      <c r="T23" s="121">
        <f t="shared" si="11"/>
        <v>0</v>
      </c>
      <c r="U23" s="121">
        <f t="shared" si="12"/>
        <v>0</v>
      </c>
      <c r="V23" s="121">
        <f t="shared" si="13"/>
        <v>0</v>
      </c>
      <c r="W23" s="122">
        <f t="shared" si="14"/>
        <v>0</v>
      </c>
      <c r="X23" s="38">
        <f>W23+'проезд Лизе к бюджету 2018'!L24</f>
        <v>96899.999999999985</v>
      </c>
      <c r="Y23" s="37" t="e">
        <f>#REF!+#REF!</f>
        <v>#REF!</v>
      </c>
      <c r="Z23" s="37" t="e">
        <f t="shared" si="28"/>
        <v>#REF!</v>
      </c>
      <c r="AA23" s="193">
        <v>157935</v>
      </c>
      <c r="AB23" s="193">
        <v>47865</v>
      </c>
      <c r="AC23" s="191">
        <f t="shared" si="16"/>
        <v>205800</v>
      </c>
      <c r="AD23" s="188">
        <f t="shared" si="17"/>
        <v>194915</v>
      </c>
      <c r="AE23" s="139">
        <v>1450</v>
      </c>
      <c r="AF23" s="183">
        <f t="shared" si="18"/>
        <v>1</v>
      </c>
      <c r="AG23" s="146">
        <v>23121.599999999999</v>
      </c>
      <c r="AH23" s="141">
        <f t="shared" si="19"/>
        <v>231087</v>
      </c>
      <c r="AI23" s="143">
        <f t="shared" si="20"/>
        <v>73152</v>
      </c>
      <c r="AJ23" s="125">
        <f>AF23-'проезд Лизе к бюджету 2018'!B24</f>
        <v>-3</v>
      </c>
      <c r="AK23" s="141">
        <f t="shared" si="21"/>
        <v>73152</v>
      </c>
      <c r="AL23" s="141">
        <f t="shared" si="22"/>
        <v>-47865</v>
      </c>
      <c r="AM23" s="141">
        <f t="shared" si="23"/>
        <v>25287</v>
      </c>
      <c r="AN23" s="155">
        <f t="shared" si="24"/>
        <v>73199.999999999985</v>
      </c>
      <c r="AO23" s="155">
        <f t="shared" si="4"/>
        <v>-47800</v>
      </c>
      <c r="AP23" s="154">
        <f t="shared" si="5"/>
        <v>25399.999999999985</v>
      </c>
      <c r="AQ23" s="154">
        <f t="shared" si="25"/>
        <v>25399.999999999985</v>
      </c>
    </row>
    <row r="24" spans="1:43" ht="14.4" x14ac:dyDescent="0.3">
      <c r="A24" s="21" t="s">
        <v>4</v>
      </c>
      <c r="B24" s="132">
        <v>337</v>
      </c>
      <c r="C24" s="95">
        <v>2</v>
      </c>
      <c r="D24" s="106">
        <v>43</v>
      </c>
      <c r="E24" s="101">
        <v>43</v>
      </c>
      <c r="F24" s="103">
        <f t="shared" si="6"/>
        <v>0</v>
      </c>
      <c r="G24" s="111">
        <v>5</v>
      </c>
      <c r="H24" s="104">
        <v>9</v>
      </c>
      <c r="I24" s="105">
        <f t="shared" si="7"/>
        <v>4</v>
      </c>
      <c r="J24" s="22">
        <f t="shared" si="0"/>
        <v>9</v>
      </c>
      <c r="K24" s="99">
        <f t="shared" si="0"/>
        <v>9</v>
      </c>
      <c r="L24" s="169">
        <f t="shared" si="8"/>
        <v>0</v>
      </c>
      <c r="M24" s="126">
        <f t="shared" si="26"/>
        <v>9</v>
      </c>
      <c r="N24" s="28">
        <v>5</v>
      </c>
      <c r="O24" s="119">
        <f t="shared" si="9"/>
        <v>139225</v>
      </c>
      <c r="P24" s="119">
        <f t="shared" si="10"/>
        <v>42045.95</v>
      </c>
      <c r="Q24" s="119">
        <f t="shared" si="1"/>
        <v>181270.95</v>
      </c>
      <c r="R24" s="24">
        <f t="shared" si="2"/>
        <v>7.3746312684365781E-3</v>
      </c>
      <c r="S24" s="120">
        <f t="shared" si="27"/>
        <v>4</v>
      </c>
      <c r="T24" s="121">
        <f t="shared" si="11"/>
        <v>111380</v>
      </c>
      <c r="U24" s="121">
        <f t="shared" si="12"/>
        <v>33636.76</v>
      </c>
      <c r="V24" s="121">
        <f t="shared" si="13"/>
        <v>145016.76</v>
      </c>
      <c r="W24" s="122">
        <f t="shared" si="14"/>
        <v>145100</v>
      </c>
      <c r="X24" s="38">
        <f>W24+'проезд Лизе к бюджету 2018'!L25</f>
        <v>193600</v>
      </c>
      <c r="Y24" s="37" t="e">
        <f>#REF!+#REF!</f>
        <v>#REF!</v>
      </c>
      <c r="Z24" s="37" t="e">
        <f t="shared" si="28"/>
        <v>#REF!</v>
      </c>
      <c r="AA24" s="193">
        <v>232115</v>
      </c>
      <c r="AB24" s="193">
        <v>70285</v>
      </c>
      <c r="AC24" s="191">
        <f t="shared" si="16"/>
        <v>302400</v>
      </c>
      <c r="AD24" s="188">
        <f t="shared" si="17"/>
        <v>250605</v>
      </c>
      <c r="AE24" s="139">
        <v>2900</v>
      </c>
      <c r="AF24" s="182">
        <f t="shared" si="18"/>
        <v>2</v>
      </c>
      <c r="AG24" s="146">
        <v>11510.619999999999</v>
      </c>
      <c r="AH24" s="141">
        <f t="shared" si="19"/>
        <v>288216</v>
      </c>
      <c r="AI24" s="143">
        <f t="shared" si="20"/>
        <v>56101</v>
      </c>
      <c r="AJ24" s="125">
        <f>AF24-'проезд Лизе к бюджету 2018'!B25</f>
        <v>0</v>
      </c>
      <c r="AK24" s="141">
        <f t="shared" si="21"/>
        <v>56101</v>
      </c>
      <c r="AL24" s="141">
        <f t="shared" si="22"/>
        <v>-70285</v>
      </c>
      <c r="AM24" s="141">
        <f t="shared" si="23"/>
        <v>-14184</v>
      </c>
      <c r="AN24" s="155">
        <f t="shared" si="24"/>
        <v>56200</v>
      </c>
      <c r="AO24" s="155">
        <f t="shared" si="4"/>
        <v>-70200</v>
      </c>
      <c r="AP24" s="154">
        <f t="shared" si="5"/>
        <v>-14000</v>
      </c>
      <c r="AQ24" s="157"/>
    </row>
    <row r="25" spans="1:43" ht="14.4" x14ac:dyDescent="0.3">
      <c r="A25" s="29" t="s">
        <v>15</v>
      </c>
      <c r="B25" s="132">
        <v>338</v>
      </c>
      <c r="C25" s="95">
        <v>7</v>
      </c>
      <c r="D25" s="106">
        <v>50</v>
      </c>
      <c r="E25" s="101">
        <v>47</v>
      </c>
      <c r="F25" s="103">
        <f t="shared" si="6"/>
        <v>-3</v>
      </c>
      <c r="G25" s="111">
        <v>8</v>
      </c>
      <c r="H25" s="104">
        <v>10</v>
      </c>
      <c r="I25" s="105">
        <f t="shared" si="7"/>
        <v>2</v>
      </c>
      <c r="J25" s="22">
        <f t="shared" si="0"/>
        <v>10</v>
      </c>
      <c r="K25" s="99">
        <f t="shared" si="0"/>
        <v>10</v>
      </c>
      <c r="L25" s="169">
        <f t="shared" si="8"/>
        <v>0</v>
      </c>
      <c r="M25" s="126">
        <f t="shared" si="26"/>
        <v>10</v>
      </c>
      <c r="N25" s="25">
        <v>8</v>
      </c>
      <c r="O25" s="119">
        <f t="shared" si="9"/>
        <v>222760</v>
      </c>
      <c r="P25" s="119">
        <f t="shared" si="10"/>
        <v>67273.52</v>
      </c>
      <c r="Q25" s="119">
        <f t="shared" si="1"/>
        <v>290033.52</v>
      </c>
      <c r="R25" s="24">
        <f t="shared" si="2"/>
        <v>1.1799410029498525E-2</v>
      </c>
      <c r="S25" s="120">
        <f t="shared" si="27"/>
        <v>6</v>
      </c>
      <c r="T25" s="121">
        <f t="shared" si="11"/>
        <v>167070</v>
      </c>
      <c r="U25" s="121">
        <f t="shared" si="12"/>
        <v>50455.14</v>
      </c>
      <c r="V25" s="121">
        <f t="shared" si="13"/>
        <v>217525.14</v>
      </c>
      <c r="W25" s="122">
        <f t="shared" si="14"/>
        <v>217600</v>
      </c>
      <c r="X25" s="38">
        <f>W25+'проезд Лизе к бюджету 2018'!L26</f>
        <v>338700</v>
      </c>
      <c r="Y25" s="37" t="e">
        <f>#REF!+#REF!</f>
        <v>#REF!</v>
      </c>
      <c r="Z25" s="37" t="e">
        <f t="shared" si="28"/>
        <v>#REF!</v>
      </c>
      <c r="AA25" s="193">
        <v>287915</v>
      </c>
      <c r="AB25" s="193">
        <v>87085</v>
      </c>
      <c r="AC25" s="191">
        <f t="shared" si="16"/>
        <v>375000</v>
      </c>
      <c r="AD25" s="188">
        <f t="shared" si="17"/>
        <v>278450</v>
      </c>
      <c r="AE25" s="139">
        <v>7250</v>
      </c>
      <c r="AF25" s="182">
        <f t="shared" si="18"/>
        <v>5</v>
      </c>
      <c r="AG25" s="146">
        <v>28859.1</v>
      </c>
      <c r="AH25" s="141">
        <f t="shared" si="19"/>
        <v>372560</v>
      </c>
      <c r="AI25" s="143">
        <f t="shared" si="20"/>
        <v>84645</v>
      </c>
      <c r="AJ25" s="125">
        <f>AF25-'проезд Лизе к бюджету 2018'!B26</f>
        <v>1</v>
      </c>
      <c r="AK25" s="141">
        <f t="shared" si="21"/>
        <v>84645</v>
      </c>
      <c r="AL25" s="141">
        <f t="shared" si="22"/>
        <v>-87085</v>
      </c>
      <c r="AM25" s="141">
        <f t="shared" si="23"/>
        <v>-2440</v>
      </c>
      <c r="AN25" s="155">
        <f>IF(AK25&gt;=-99,IF(AK25&gt;0,ROUNDUP(AK25/1000,1),0),ROUNDDOWN(AK25/1000,1))*1000</f>
        <v>84699.999999999985</v>
      </c>
      <c r="AO25" s="155">
        <f>IF(AL25&gt;=-99,IF(AL25&gt;0,ROUNDUP(AL25/1000,1),0),ROUNDDOWN(AL25/1000,1))*1000</f>
        <v>-87000</v>
      </c>
      <c r="AP25" s="154">
        <f>SUM(AN25:AO25)</f>
        <v>-2300.0000000000146</v>
      </c>
      <c r="AQ25" s="157"/>
    </row>
    <row r="26" spans="1:43" ht="14.4" x14ac:dyDescent="0.3">
      <c r="A26" s="21" t="s">
        <v>16</v>
      </c>
      <c r="B26" s="132">
        <v>339</v>
      </c>
      <c r="C26" s="95">
        <v>3</v>
      </c>
      <c r="D26" s="106">
        <v>70</v>
      </c>
      <c r="E26" s="101">
        <v>70</v>
      </c>
      <c r="F26" s="103">
        <f t="shared" si="6"/>
        <v>0</v>
      </c>
      <c r="G26" s="111">
        <v>19</v>
      </c>
      <c r="H26" s="104">
        <v>18</v>
      </c>
      <c r="I26" s="105">
        <f t="shared" si="7"/>
        <v>-1</v>
      </c>
      <c r="J26" s="22">
        <f t="shared" si="0"/>
        <v>14</v>
      </c>
      <c r="K26" s="170">
        <f t="shared" si="0"/>
        <v>14</v>
      </c>
      <c r="L26" s="169">
        <f t="shared" si="8"/>
        <v>-4</v>
      </c>
      <c r="M26" s="126">
        <f t="shared" si="26"/>
        <v>14</v>
      </c>
      <c r="N26" s="27">
        <v>14</v>
      </c>
      <c r="O26" s="119">
        <f t="shared" si="9"/>
        <v>389830</v>
      </c>
      <c r="P26" s="119">
        <f t="shared" si="10"/>
        <v>117728.66</v>
      </c>
      <c r="Q26" s="119">
        <f t="shared" si="1"/>
        <v>507558.66000000003</v>
      </c>
      <c r="R26" s="24">
        <f t="shared" si="2"/>
        <v>2.0648967551622419E-2</v>
      </c>
      <c r="S26" s="120">
        <f t="shared" si="27"/>
        <v>10</v>
      </c>
      <c r="T26" s="121">
        <f t="shared" si="11"/>
        <v>278450</v>
      </c>
      <c r="U26" s="121">
        <f t="shared" si="12"/>
        <v>84091.9</v>
      </c>
      <c r="V26" s="121">
        <f t="shared" si="13"/>
        <v>362541.9</v>
      </c>
      <c r="W26" s="122">
        <f t="shared" si="14"/>
        <v>362600</v>
      </c>
      <c r="X26" s="38">
        <f>W26+'проезд Лизе к бюджету 2018'!L27</f>
        <v>435300</v>
      </c>
      <c r="Y26" s="37" t="e">
        <f>#REF!+#REF!</f>
        <v>#REF!</v>
      </c>
      <c r="Z26" s="37" t="e">
        <f t="shared" si="28"/>
        <v>#REF!</v>
      </c>
      <c r="AA26" s="193">
        <v>362095</v>
      </c>
      <c r="AB26" s="193">
        <v>109505</v>
      </c>
      <c r="AC26" s="191">
        <f t="shared" si="16"/>
        <v>471600</v>
      </c>
      <c r="AD26" s="188">
        <f t="shared" si="17"/>
        <v>389830</v>
      </c>
      <c r="AE26" s="139">
        <v>4350</v>
      </c>
      <c r="AF26" s="182">
        <f t="shared" si="18"/>
        <v>3</v>
      </c>
      <c r="AG26" s="146">
        <v>17298.059999999998</v>
      </c>
      <c r="AH26" s="141">
        <f t="shared" si="19"/>
        <v>446279</v>
      </c>
      <c r="AI26" s="143">
        <f t="shared" si="20"/>
        <v>84184</v>
      </c>
      <c r="AJ26" s="125">
        <f>AF26-'проезд Лизе к бюджету 2018'!B27</f>
        <v>-1</v>
      </c>
      <c r="AK26" s="141">
        <f t="shared" si="21"/>
        <v>84184</v>
      </c>
      <c r="AL26" s="141">
        <f t="shared" si="22"/>
        <v>-109505</v>
      </c>
      <c r="AM26" s="141">
        <f t="shared" si="23"/>
        <v>-25321</v>
      </c>
      <c r="AN26" s="155">
        <f t="shared" ref="AN26:AN75" si="29">IF(AK26&gt;=-99,IF(AK26&gt;0,ROUNDUP(AK26/1000,1),0),ROUNDDOWN(AK26/1000,1))*1000</f>
        <v>84199.999999999985</v>
      </c>
      <c r="AO26" s="155">
        <f t="shared" ref="AO26:AO75" si="30">IF(AL26&gt;=-99,IF(AL26&gt;0,ROUNDUP(AL26/1000,1),0),ROUNDDOWN(AL26/1000,1))*1000</f>
        <v>-109500</v>
      </c>
      <c r="AP26" s="154">
        <f t="shared" ref="AP26:AP75" si="31">SUM(AN26:AO26)</f>
        <v>-25300.000000000015</v>
      </c>
      <c r="AQ26" s="154">
        <f t="shared" si="25"/>
        <v>-25300.000000000015</v>
      </c>
    </row>
    <row r="27" spans="1:43" ht="14.4" x14ac:dyDescent="0.3">
      <c r="A27" s="21" t="s">
        <v>17</v>
      </c>
      <c r="B27" s="132">
        <v>340</v>
      </c>
      <c r="C27" s="95">
        <v>2</v>
      </c>
      <c r="D27" s="106">
        <v>28</v>
      </c>
      <c r="E27" s="101">
        <v>28</v>
      </c>
      <c r="F27" s="103">
        <f t="shared" si="6"/>
        <v>0</v>
      </c>
      <c r="G27" s="111">
        <v>8</v>
      </c>
      <c r="H27" s="104">
        <v>7</v>
      </c>
      <c r="I27" s="105">
        <f t="shared" si="7"/>
        <v>-1</v>
      </c>
      <c r="J27" s="22">
        <f t="shared" si="0"/>
        <v>6</v>
      </c>
      <c r="K27" s="99">
        <f t="shared" si="0"/>
        <v>6</v>
      </c>
      <c r="L27" s="169">
        <f t="shared" si="8"/>
        <v>-1</v>
      </c>
      <c r="M27" s="178">
        <f>IF(H27&gt;K27,K27,H27)+1</f>
        <v>7</v>
      </c>
      <c r="N27" s="25">
        <v>6</v>
      </c>
      <c r="O27" s="119">
        <f t="shared" si="9"/>
        <v>167070</v>
      </c>
      <c r="P27" s="119">
        <f t="shared" si="10"/>
        <v>50455.14</v>
      </c>
      <c r="Q27" s="119">
        <f t="shared" si="1"/>
        <v>217525.14</v>
      </c>
      <c r="R27" s="24">
        <f t="shared" si="2"/>
        <v>8.8495575221238937E-3</v>
      </c>
      <c r="S27" s="120">
        <f t="shared" si="27"/>
        <v>4</v>
      </c>
      <c r="T27" s="121">
        <f t="shared" si="11"/>
        <v>111380</v>
      </c>
      <c r="U27" s="121">
        <f t="shared" si="12"/>
        <v>33636.76</v>
      </c>
      <c r="V27" s="121">
        <f t="shared" si="13"/>
        <v>145016.76</v>
      </c>
      <c r="W27" s="122">
        <f t="shared" si="14"/>
        <v>145100</v>
      </c>
      <c r="X27" s="38">
        <f>W27+'проезд Лизе к бюджету 2018'!L28</f>
        <v>145100</v>
      </c>
      <c r="Y27" s="37" t="e">
        <f>#REF!+#REF!</f>
        <v>#REF!</v>
      </c>
      <c r="Z27" s="37" t="e">
        <f t="shared" si="28"/>
        <v>#REF!</v>
      </c>
      <c r="AA27" s="193">
        <v>111380</v>
      </c>
      <c r="AB27" s="193">
        <v>33720</v>
      </c>
      <c r="AC27" s="191">
        <f t="shared" si="16"/>
        <v>145100</v>
      </c>
      <c r="AD27" s="188">
        <f t="shared" si="17"/>
        <v>194915</v>
      </c>
      <c r="AE27" s="139"/>
      <c r="AF27" s="182">
        <f t="shared" si="18"/>
        <v>0</v>
      </c>
      <c r="AG27" s="146"/>
      <c r="AH27" s="141">
        <f t="shared" si="19"/>
        <v>194915</v>
      </c>
      <c r="AI27" s="143">
        <f t="shared" si="20"/>
        <v>83535</v>
      </c>
      <c r="AJ27" s="125">
        <f>AF27-'проезд Лизе к бюджету 2018'!B28</f>
        <v>-2</v>
      </c>
      <c r="AK27" s="141">
        <f t="shared" si="21"/>
        <v>83535</v>
      </c>
      <c r="AL27" s="141">
        <f t="shared" si="22"/>
        <v>-33720</v>
      </c>
      <c r="AM27" s="141">
        <f t="shared" si="23"/>
        <v>49815</v>
      </c>
      <c r="AN27" s="155">
        <f t="shared" si="29"/>
        <v>83600</v>
      </c>
      <c r="AO27" s="155">
        <f t="shared" si="30"/>
        <v>-33700</v>
      </c>
      <c r="AP27" s="154">
        <f t="shared" si="31"/>
        <v>49900</v>
      </c>
      <c r="AQ27" s="154">
        <f t="shared" si="25"/>
        <v>49900</v>
      </c>
    </row>
    <row r="28" spans="1:43" ht="14.4" x14ac:dyDescent="0.3">
      <c r="A28" s="21" t="s">
        <v>18</v>
      </c>
      <c r="B28" s="132">
        <v>341</v>
      </c>
      <c r="C28" s="95"/>
      <c r="D28" s="106"/>
      <c r="E28" s="101">
        <v>54</v>
      </c>
      <c r="F28" s="103">
        <f t="shared" si="6"/>
        <v>54</v>
      </c>
      <c r="G28" s="111"/>
      <c r="H28" s="104">
        <v>10</v>
      </c>
      <c r="I28" s="105">
        <f t="shared" si="7"/>
        <v>10</v>
      </c>
      <c r="J28" s="22">
        <f t="shared" si="0"/>
        <v>0</v>
      </c>
      <c r="K28" s="99">
        <f t="shared" si="0"/>
        <v>11</v>
      </c>
      <c r="L28" s="169">
        <f t="shared" si="8"/>
        <v>1</v>
      </c>
      <c r="M28" s="126">
        <f t="shared" si="26"/>
        <v>10</v>
      </c>
      <c r="N28" s="27"/>
      <c r="O28" s="119">
        <f t="shared" si="9"/>
        <v>0</v>
      </c>
      <c r="P28" s="119">
        <f t="shared" si="10"/>
        <v>0</v>
      </c>
      <c r="Q28" s="119">
        <f t="shared" si="1"/>
        <v>0</v>
      </c>
      <c r="R28" s="24">
        <f t="shared" si="2"/>
        <v>0</v>
      </c>
      <c r="S28" s="120">
        <f t="shared" si="27"/>
        <v>0</v>
      </c>
      <c r="T28" s="121">
        <f t="shared" si="11"/>
        <v>0</v>
      </c>
      <c r="U28" s="121">
        <f t="shared" si="12"/>
        <v>0</v>
      </c>
      <c r="V28" s="121">
        <f t="shared" si="13"/>
        <v>0</v>
      </c>
      <c r="W28" s="122">
        <f t="shared" si="14"/>
        <v>0</v>
      </c>
      <c r="X28" s="38">
        <f>W28+'проезд Лизе к бюджету 2018'!L29</f>
        <v>72699.999999999985</v>
      </c>
      <c r="Y28" s="37" t="e">
        <f>#REF!+#REF!</f>
        <v>#REF!</v>
      </c>
      <c r="Z28" s="37" t="e">
        <f t="shared" si="28"/>
        <v>#REF!</v>
      </c>
      <c r="AA28" s="193">
        <v>278560</v>
      </c>
      <c r="AB28" s="193">
        <v>84240</v>
      </c>
      <c r="AC28" s="191">
        <f t="shared" si="16"/>
        <v>362800</v>
      </c>
      <c r="AD28" s="188">
        <f t="shared" si="17"/>
        <v>278450</v>
      </c>
      <c r="AE28" s="139">
        <v>4350</v>
      </c>
      <c r="AF28" s="182">
        <f t="shared" si="18"/>
        <v>3</v>
      </c>
      <c r="AG28" s="146">
        <v>17261.2</v>
      </c>
      <c r="AH28" s="141">
        <f t="shared" si="19"/>
        <v>334862</v>
      </c>
      <c r="AI28" s="143">
        <f t="shared" si="20"/>
        <v>56302</v>
      </c>
      <c r="AJ28" s="125">
        <f>AF28-'проезд Лизе к бюджету 2018'!B29</f>
        <v>0</v>
      </c>
      <c r="AK28" s="141">
        <f t="shared" si="21"/>
        <v>56302</v>
      </c>
      <c r="AL28" s="141">
        <f t="shared" si="22"/>
        <v>-84240</v>
      </c>
      <c r="AM28" s="141">
        <f t="shared" si="23"/>
        <v>-27938</v>
      </c>
      <c r="AN28" s="155">
        <f t="shared" si="29"/>
        <v>56400</v>
      </c>
      <c r="AO28" s="155">
        <f t="shared" si="30"/>
        <v>-84200</v>
      </c>
      <c r="AP28" s="154">
        <f t="shared" si="31"/>
        <v>-27800</v>
      </c>
      <c r="AQ28" s="154">
        <f t="shared" si="25"/>
        <v>-27800</v>
      </c>
    </row>
    <row r="29" spans="1:43" ht="14.4" x14ac:dyDescent="0.3">
      <c r="A29" s="21" t="s">
        <v>19</v>
      </c>
      <c r="B29" s="132">
        <v>342</v>
      </c>
      <c r="C29" s="95">
        <v>0</v>
      </c>
      <c r="D29" s="106">
        <v>41</v>
      </c>
      <c r="E29" s="101">
        <v>39</v>
      </c>
      <c r="F29" s="103">
        <f t="shared" si="6"/>
        <v>-2</v>
      </c>
      <c r="G29" s="111">
        <v>9</v>
      </c>
      <c r="H29" s="104">
        <v>6</v>
      </c>
      <c r="I29" s="105">
        <f t="shared" si="7"/>
        <v>-3</v>
      </c>
      <c r="J29" s="22">
        <f t="shared" si="0"/>
        <v>9</v>
      </c>
      <c r="K29" s="99">
        <f t="shared" si="0"/>
        <v>8</v>
      </c>
      <c r="L29" s="169">
        <f t="shared" si="8"/>
        <v>2</v>
      </c>
      <c r="M29" s="126">
        <f t="shared" si="26"/>
        <v>6</v>
      </c>
      <c r="N29" s="25">
        <v>9</v>
      </c>
      <c r="O29" s="119">
        <f t="shared" si="9"/>
        <v>250605</v>
      </c>
      <c r="P29" s="119">
        <f t="shared" si="10"/>
        <v>75682.709999999992</v>
      </c>
      <c r="Q29" s="119">
        <f t="shared" si="1"/>
        <v>326287.70999999996</v>
      </c>
      <c r="R29" s="24">
        <f t="shared" si="2"/>
        <v>1.3274336283185841E-2</v>
      </c>
      <c r="S29" s="120">
        <f t="shared" si="27"/>
        <v>7</v>
      </c>
      <c r="T29" s="121">
        <f t="shared" si="11"/>
        <v>194915</v>
      </c>
      <c r="U29" s="121">
        <f t="shared" si="12"/>
        <v>58864.33</v>
      </c>
      <c r="V29" s="121">
        <f t="shared" si="13"/>
        <v>253779.33000000002</v>
      </c>
      <c r="W29" s="122">
        <f t="shared" si="14"/>
        <v>253799.99999999997</v>
      </c>
      <c r="X29" s="38">
        <f>W29+'проезд Лизе к бюджету 2018'!L30</f>
        <v>253799.99999999997</v>
      </c>
      <c r="Y29" s="37" t="e">
        <f>#REF!+#REF!</f>
        <v>#REF!</v>
      </c>
      <c r="Z29" s="37" t="e">
        <f t="shared" si="28"/>
        <v>#REF!</v>
      </c>
      <c r="AA29" s="193">
        <v>139225</v>
      </c>
      <c r="AB29" s="193">
        <v>42175</v>
      </c>
      <c r="AC29" s="191">
        <f t="shared" si="16"/>
        <v>181400</v>
      </c>
      <c r="AD29" s="188">
        <f t="shared" si="17"/>
        <v>167070</v>
      </c>
      <c r="AE29" s="139"/>
      <c r="AF29" s="182">
        <f t="shared" si="18"/>
        <v>0</v>
      </c>
      <c r="AG29" s="146"/>
      <c r="AH29" s="141">
        <f t="shared" si="19"/>
        <v>167070</v>
      </c>
      <c r="AI29" s="143">
        <f t="shared" si="20"/>
        <v>27845</v>
      </c>
      <c r="AJ29" s="125">
        <f>AF29-'проезд Лизе к бюджету 2018'!B30</f>
        <v>0</v>
      </c>
      <c r="AK29" s="141">
        <f t="shared" si="21"/>
        <v>27845</v>
      </c>
      <c r="AL29" s="141">
        <f t="shared" si="22"/>
        <v>-42175</v>
      </c>
      <c r="AM29" s="141">
        <f t="shared" si="23"/>
        <v>-14330</v>
      </c>
      <c r="AN29" s="155">
        <f t="shared" si="29"/>
        <v>27900.000000000004</v>
      </c>
      <c r="AO29" s="155">
        <f t="shared" si="30"/>
        <v>-42100</v>
      </c>
      <c r="AP29" s="154">
        <f t="shared" si="31"/>
        <v>-14199.999999999996</v>
      </c>
      <c r="AQ29" s="157"/>
    </row>
    <row r="30" spans="1:43" ht="14.4" x14ac:dyDescent="0.3">
      <c r="A30" s="21" t="s">
        <v>41</v>
      </c>
      <c r="B30" s="132">
        <v>343</v>
      </c>
      <c r="C30" s="95">
        <v>1</v>
      </c>
      <c r="D30" s="106">
        <v>74</v>
      </c>
      <c r="E30" s="101">
        <v>59</v>
      </c>
      <c r="F30" s="103">
        <f t="shared" si="6"/>
        <v>-15</v>
      </c>
      <c r="G30" s="111">
        <v>4</v>
      </c>
      <c r="H30" s="104">
        <v>14</v>
      </c>
      <c r="I30" s="105">
        <f t="shared" si="7"/>
        <v>10</v>
      </c>
      <c r="J30" s="22">
        <f t="shared" si="0"/>
        <v>15</v>
      </c>
      <c r="K30" s="99">
        <f t="shared" si="0"/>
        <v>12</v>
      </c>
      <c r="L30" s="169">
        <f t="shared" si="8"/>
        <v>-2</v>
      </c>
      <c r="M30" s="178">
        <f>IF(H30&gt;K30,K30,H30)+1</f>
        <v>13</v>
      </c>
      <c r="N30" s="25">
        <v>4</v>
      </c>
      <c r="O30" s="119">
        <f t="shared" si="9"/>
        <v>111380</v>
      </c>
      <c r="P30" s="119">
        <f t="shared" si="10"/>
        <v>33636.76</v>
      </c>
      <c r="Q30" s="119">
        <f t="shared" si="1"/>
        <v>145016.76</v>
      </c>
      <c r="R30" s="24">
        <f t="shared" si="2"/>
        <v>5.8997050147492625E-3</v>
      </c>
      <c r="S30" s="120">
        <f t="shared" si="27"/>
        <v>3</v>
      </c>
      <c r="T30" s="121">
        <f t="shared" si="11"/>
        <v>83535</v>
      </c>
      <c r="U30" s="121">
        <f t="shared" si="12"/>
        <v>25227.57</v>
      </c>
      <c r="V30" s="121">
        <f t="shared" si="13"/>
        <v>108762.57</v>
      </c>
      <c r="W30" s="122">
        <f t="shared" si="14"/>
        <v>108800</v>
      </c>
      <c r="X30" s="38">
        <f>W30+'проезд Лизе к бюджету 2018'!L31</f>
        <v>108800</v>
      </c>
      <c r="Y30" s="37" t="e">
        <f>#REF!+#REF!</f>
        <v>#REF!</v>
      </c>
      <c r="Z30" s="37" t="e">
        <f t="shared" si="28"/>
        <v>#REF!</v>
      </c>
      <c r="AA30" s="193">
        <v>222760</v>
      </c>
      <c r="AB30" s="193">
        <v>67340</v>
      </c>
      <c r="AC30" s="191">
        <f t="shared" si="16"/>
        <v>290100</v>
      </c>
      <c r="AD30" s="188">
        <f t="shared" si="17"/>
        <v>361985</v>
      </c>
      <c r="AE30" s="139"/>
      <c r="AF30" s="140">
        <f t="shared" si="18"/>
        <v>0</v>
      </c>
      <c r="AG30" s="146"/>
      <c r="AH30" s="141">
        <f t="shared" si="19"/>
        <v>361985</v>
      </c>
      <c r="AI30" s="143">
        <f t="shared" si="20"/>
        <v>139225</v>
      </c>
      <c r="AJ30" s="125">
        <f>AF30-'проезд Лизе к бюджету 2018'!B31</f>
        <v>0</v>
      </c>
      <c r="AK30" s="141">
        <f t="shared" si="21"/>
        <v>139225</v>
      </c>
      <c r="AL30" s="141">
        <f t="shared" si="22"/>
        <v>-67340</v>
      </c>
      <c r="AM30" s="141">
        <f t="shared" si="23"/>
        <v>71885</v>
      </c>
      <c r="AN30" s="155">
        <f t="shared" si="29"/>
        <v>139299.99999999997</v>
      </c>
      <c r="AO30" s="155">
        <f t="shared" si="30"/>
        <v>-67300</v>
      </c>
      <c r="AP30" s="154">
        <f t="shared" si="31"/>
        <v>71999.999999999971</v>
      </c>
      <c r="AQ30" s="154">
        <f t="shared" si="25"/>
        <v>71999.999999999971</v>
      </c>
    </row>
    <row r="31" spans="1:43" ht="14.4" x14ac:dyDescent="0.3">
      <c r="A31" s="21" t="s">
        <v>60</v>
      </c>
      <c r="B31" s="133">
        <v>344</v>
      </c>
      <c r="C31" s="95">
        <v>4</v>
      </c>
      <c r="D31" s="106">
        <v>109</v>
      </c>
      <c r="E31" s="101">
        <v>137</v>
      </c>
      <c r="F31" s="107">
        <f t="shared" si="6"/>
        <v>28</v>
      </c>
      <c r="G31" s="111">
        <v>21</v>
      </c>
      <c r="H31" s="104">
        <v>13</v>
      </c>
      <c r="I31" s="108">
        <f t="shared" si="7"/>
        <v>-8</v>
      </c>
      <c r="J31" s="22">
        <f t="shared" si="0"/>
        <v>22</v>
      </c>
      <c r="K31" s="99">
        <f t="shared" si="0"/>
        <v>28</v>
      </c>
      <c r="L31" s="169">
        <f t="shared" si="8"/>
        <v>15</v>
      </c>
      <c r="M31" s="126">
        <f t="shared" si="26"/>
        <v>13</v>
      </c>
      <c r="N31" s="28">
        <v>21</v>
      </c>
      <c r="O31" s="119">
        <f t="shared" si="9"/>
        <v>584745</v>
      </c>
      <c r="P31" s="119">
        <f t="shared" si="10"/>
        <v>176592.99</v>
      </c>
      <c r="Q31" s="119">
        <f t="shared" si="1"/>
        <v>761337.99</v>
      </c>
      <c r="R31" s="24">
        <f t="shared" si="2"/>
        <v>3.0973451327433628E-2</v>
      </c>
      <c r="S31" s="120">
        <f>ROUND(R31*$O$83,0)-1</f>
        <v>14</v>
      </c>
      <c r="T31" s="121">
        <f t="shared" si="11"/>
        <v>389830</v>
      </c>
      <c r="U31" s="121">
        <f t="shared" si="12"/>
        <v>117728.66</v>
      </c>
      <c r="V31" s="121">
        <f t="shared" si="13"/>
        <v>507558.66000000003</v>
      </c>
      <c r="W31" s="122">
        <f t="shared" si="14"/>
        <v>507600</v>
      </c>
      <c r="X31" s="38">
        <f>W31+'проезд Лизе к бюджету 2018'!L32</f>
        <v>604500</v>
      </c>
      <c r="Y31" s="37" t="e">
        <f>#REF!+#REF!</f>
        <v>#REF!</v>
      </c>
      <c r="Z31" s="37" t="e">
        <f t="shared" si="28"/>
        <v>#REF!</v>
      </c>
      <c r="AA31" s="193">
        <v>352850</v>
      </c>
      <c r="AB31" s="193">
        <v>106650</v>
      </c>
      <c r="AC31" s="191">
        <f t="shared" si="16"/>
        <v>459500</v>
      </c>
      <c r="AD31" s="188">
        <f t="shared" si="17"/>
        <v>361985</v>
      </c>
      <c r="AE31" s="139">
        <v>5800</v>
      </c>
      <c r="AF31" s="182">
        <f t="shared" si="18"/>
        <v>4</v>
      </c>
      <c r="AG31" s="146">
        <v>23113.3</v>
      </c>
      <c r="AH31" s="141">
        <f t="shared" si="19"/>
        <v>437299</v>
      </c>
      <c r="AI31" s="143">
        <f t="shared" si="20"/>
        <v>84449</v>
      </c>
      <c r="AJ31" s="125">
        <f>AF31-'проезд Лизе к бюджету 2018'!B32</f>
        <v>2</v>
      </c>
      <c r="AK31" s="141">
        <f t="shared" si="21"/>
        <v>84449</v>
      </c>
      <c r="AL31" s="141">
        <f t="shared" si="22"/>
        <v>-106650</v>
      </c>
      <c r="AM31" s="141">
        <f t="shared" si="23"/>
        <v>-22201</v>
      </c>
      <c r="AN31" s="155">
        <f t="shared" si="29"/>
        <v>84500</v>
      </c>
      <c r="AO31" s="155">
        <f t="shared" si="30"/>
        <v>-106600</v>
      </c>
      <c r="AP31" s="154">
        <f t="shared" si="31"/>
        <v>-22100</v>
      </c>
      <c r="AQ31" s="154">
        <f t="shared" si="25"/>
        <v>-22100</v>
      </c>
    </row>
    <row r="32" spans="1:43" ht="14.4" x14ac:dyDescent="0.3">
      <c r="A32" s="21" t="s">
        <v>20</v>
      </c>
      <c r="B32" s="132">
        <v>345</v>
      </c>
      <c r="C32" s="95">
        <v>2</v>
      </c>
      <c r="D32" s="106">
        <v>56</v>
      </c>
      <c r="E32" s="101">
        <v>46</v>
      </c>
      <c r="F32" s="103">
        <f t="shared" si="6"/>
        <v>-10</v>
      </c>
      <c r="G32" s="111">
        <v>12</v>
      </c>
      <c r="H32" s="104">
        <v>7</v>
      </c>
      <c r="I32" s="105">
        <f t="shared" si="7"/>
        <v>-5</v>
      </c>
      <c r="J32" s="22">
        <f t="shared" si="0"/>
        <v>12</v>
      </c>
      <c r="K32" s="99">
        <f t="shared" si="0"/>
        <v>10</v>
      </c>
      <c r="L32" s="169">
        <f t="shared" si="8"/>
        <v>3</v>
      </c>
      <c r="M32" s="126">
        <f t="shared" si="26"/>
        <v>7</v>
      </c>
      <c r="N32" s="25">
        <v>12</v>
      </c>
      <c r="O32" s="119">
        <f t="shared" si="9"/>
        <v>334140</v>
      </c>
      <c r="P32" s="119">
        <f t="shared" si="10"/>
        <v>100910.28</v>
      </c>
      <c r="Q32" s="119">
        <f t="shared" si="1"/>
        <v>435050.28</v>
      </c>
      <c r="R32" s="24">
        <f t="shared" si="2"/>
        <v>1.7699115044247787E-2</v>
      </c>
      <c r="S32" s="120">
        <f t="shared" ref="S32:S40" si="32">ROUND(R32*$O$83,0)</f>
        <v>9</v>
      </c>
      <c r="T32" s="121">
        <f t="shared" si="11"/>
        <v>250605</v>
      </c>
      <c r="U32" s="121">
        <f t="shared" si="12"/>
        <v>75682.710000000006</v>
      </c>
      <c r="V32" s="121">
        <f t="shared" si="13"/>
        <v>326287.71000000002</v>
      </c>
      <c r="W32" s="122">
        <f t="shared" si="14"/>
        <v>326300</v>
      </c>
      <c r="X32" s="38">
        <f>W32+'проезд Лизе к бюджету 2018'!L33</f>
        <v>350600</v>
      </c>
      <c r="Y32" s="37" t="e">
        <f>#REF!+#REF!</f>
        <v>#REF!</v>
      </c>
      <c r="Z32" s="37" t="e">
        <f t="shared" si="28"/>
        <v>#REF!</v>
      </c>
      <c r="AA32" s="193">
        <v>157825</v>
      </c>
      <c r="AB32" s="193">
        <v>47875</v>
      </c>
      <c r="AC32" s="191">
        <f t="shared" si="16"/>
        <v>205700</v>
      </c>
      <c r="AD32" s="188">
        <f t="shared" si="17"/>
        <v>194915</v>
      </c>
      <c r="AE32" s="139">
        <v>1450</v>
      </c>
      <c r="AF32" s="182">
        <f t="shared" si="18"/>
        <v>1</v>
      </c>
      <c r="AG32" s="146">
        <v>5642.9</v>
      </c>
      <c r="AH32" s="141">
        <f t="shared" si="19"/>
        <v>213608</v>
      </c>
      <c r="AI32" s="143">
        <f t="shared" si="20"/>
        <v>55783</v>
      </c>
      <c r="AJ32" s="125">
        <f>AF32-'проезд Лизе к бюджету 2018'!B33</f>
        <v>0</v>
      </c>
      <c r="AK32" s="141">
        <f t="shared" si="21"/>
        <v>55783</v>
      </c>
      <c r="AL32" s="141">
        <f t="shared" si="22"/>
        <v>-47875</v>
      </c>
      <c r="AM32" s="141">
        <f t="shared" si="23"/>
        <v>7908</v>
      </c>
      <c r="AN32" s="155">
        <f t="shared" si="29"/>
        <v>55800.000000000007</v>
      </c>
      <c r="AO32" s="155">
        <f t="shared" si="30"/>
        <v>-47800</v>
      </c>
      <c r="AP32" s="154">
        <f t="shared" si="31"/>
        <v>8000.0000000000073</v>
      </c>
      <c r="AQ32" s="154">
        <f t="shared" si="25"/>
        <v>8000.0000000000073</v>
      </c>
    </row>
    <row r="33" spans="1:43" ht="14.4" x14ac:dyDescent="0.3">
      <c r="A33" s="29" t="s">
        <v>7</v>
      </c>
      <c r="B33" s="132">
        <v>346</v>
      </c>
      <c r="C33" s="95">
        <v>1</v>
      </c>
      <c r="D33" s="106">
        <v>118</v>
      </c>
      <c r="E33" s="101">
        <v>83</v>
      </c>
      <c r="F33" s="103">
        <f t="shared" si="6"/>
        <v>-35</v>
      </c>
      <c r="G33" s="111">
        <v>14</v>
      </c>
      <c r="H33" s="104">
        <v>12</v>
      </c>
      <c r="I33" s="105">
        <f t="shared" si="7"/>
        <v>-2</v>
      </c>
      <c r="J33" s="22">
        <f t="shared" si="0"/>
        <v>24</v>
      </c>
      <c r="K33" s="99">
        <f t="shared" si="0"/>
        <v>17</v>
      </c>
      <c r="L33" s="169">
        <f t="shared" si="8"/>
        <v>5</v>
      </c>
      <c r="M33" s="126">
        <f t="shared" si="26"/>
        <v>12</v>
      </c>
      <c r="N33" s="25">
        <v>14</v>
      </c>
      <c r="O33" s="119">
        <f t="shared" si="9"/>
        <v>389830</v>
      </c>
      <c r="P33" s="119">
        <f t="shared" si="10"/>
        <v>117728.66</v>
      </c>
      <c r="Q33" s="119">
        <f t="shared" si="1"/>
        <v>507558.66000000003</v>
      </c>
      <c r="R33" s="24">
        <f t="shared" si="2"/>
        <v>2.0648967551622419E-2</v>
      </c>
      <c r="S33" s="120">
        <f t="shared" si="32"/>
        <v>10</v>
      </c>
      <c r="T33" s="121">
        <f t="shared" si="11"/>
        <v>278450</v>
      </c>
      <c r="U33" s="121">
        <f t="shared" si="12"/>
        <v>84091.9</v>
      </c>
      <c r="V33" s="121">
        <f t="shared" si="13"/>
        <v>362541.9</v>
      </c>
      <c r="W33" s="122">
        <f t="shared" si="14"/>
        <v>362600</v>
      </c>
      <c r="X33" s="38">
        <f>W33+'проезд Лизе к бюджету 2018'!L34</f>
        <v>411100</v>
      </c>
      <c r="Y33" s="37" t="e">
        <f>#REF!+#REF!</f>
        <v>#REF!</v>
      </c>
      <c r="Z33" s="37" t="e">
        <f t="shared" si="28"/>
        <v>#REF!</v>
      </c>
      <c r="AA33" s="193">
        <v>287805</v>
      </c>
      <c r="AB33" s="193">
        <v>87095</v>
      </c>
      <c r="AC33" s="191">
        <f t="shared" si="16"/>
        <v>374900</v>
      </c>
      <c r="AD33" s="188">
        <f t="shared" si="17"/>
        <v>334140</v>
      </c>
      <c r="AE33" s="139">
        <v>1450</v>
      </c>
      <c r="AF33" s="182">
        <v>2</v>
      </c>
      <c r="AG33" s="146">
        <v>4350</v>
      </c>
      <c r="AH33" s="141">
        <f t="shared" si="19"/>
        <v>364590</v>
      </c>
      <c r="AI33" s="143">
        <f t="shared" si="20"/>
        <v>76785</v>
      </c>
      <c r="AJ33" s="125">
        <f>AF33-'проезд Лизе к бюджету 2018'!B34</f>
        <v>1</v>
      </c>
      <c r="AK33" s="141">
        <f t="shared" si="21"/>
        <v>76785</v>
      </c>
      <c r="AL33" s="141">
        <f t="shared" si="22"/>
        <v>-87095</v>
      </c>
      <c r="AM33" s="141">
        <f t="shared" si="23"/>
        <v>-10310</v>
      </c>
      <c r="AN33" s="155">
        <f t="shared" si="29"/>
        <v>76800</v>
      </c>
      <c r="AO33" s="155">
        <f t="shared" si="30"/>
        <v>-87000</v>
      </c>
      <c r="AP33" s="154">
        <f t="shared" si="31"/>
        <v>-10200</v>
      </c>
      <c r="AQ33" s="154">
        <f t="shared" si="25"/>
        <v>-10200</v>
      </c>
    </row>
    <row r="34" spans="1:43" ht="14.4" x14ac:dyDescent="0.3">
      <c r="A34" s="21" t="s">
        <v>21</v>
      </c>
      <c r="B34" s="132">
        <v>347</v>
      </c>
      <c r="C34" s="95">
        <v>0</v>
      </c>
      <c r="D34" s="106">
        <v>71</v>
      </c>
      <c r="E34" s="101">
        <v>71</v>
      </c>
      <c r="F34" s="103">
        <f t="shared" si="6"/>
        <v>0</v>
      </c>
      <c r="G34" s="111">
        <v>14</v>
      </c>
      <c r="H34" s="104">
        <v>14</v>
      </c>
      <c r="I34" s="105">
        <f t="shared" si="7"/>
        <v>0</v>
      </c>
      <c r="J34" s="22">
        <f t="shared" si="0"/>
        <v>15</v>
      </c>
      <c r="K34" s="99">
        <f t="shared" si="0"/>
        <v>15</v>
      </c>
      <c r="L34" s="169">
        <f t="shared" si="8"/>
        <v>1</v>
      </c>
      <c r="M34" s="126">
        <f t="shared" si="26"/>
        <v>14</v>
      </c>
      <c r="N34" s="27">
        <v>14</v>
      </c>
      <c r="O34" s="119">
        <f t="shared" si="9"/>
        <v>389830</v>
      </c>
      <c r="P34" s="119">
        <f t="shared" si="10"/>
        <v>117728.66</v>
      </c>
      <c r="Q34" s="119">
        <f t="shared" si="1"/>
        <v>507558.66000000003</v>
      </c>
      <c r="R34" s="24">
        <f t="shared" si="2"/>
        <v>2.0648967551622419E-2</v>
      </c>
      <c r="S34" s="120">
        <f t="shared" si="32"/>
        <v>10</v>
      </c>
      <c r="T34" s="121">
        <f t="shared" si="11"/>
        <v>278450</v>
      </c>
      <c r="U34" s="121">
        <f t="shared" si="12"/>
        <v>84091.9</v>
      </c>
      <c r="V34" s="121">
        <f t="shared" si="13"/>
        <v>362541.9</v>
      </c>
      <c r="W34" s="122">
        <f t="shared" si="14"/>
        <v>362600</v>
      </c>
      <c r="X34" s="38">
        <f>W34+'проезд Лизе к бюджету 2018'!L35</f>
        <v>362600</v>
      </c>
      <c r="Y34" s="37" t="e">
        <f>#REF!+#REF!</f>
        <v>#REF!</v>
      </c>
      <c r="Z34" s="37" t="e">
        <f t="shared" si="28"/>
        <v>#REF!</v>
      </c>
      <c r="AA34" s="193">
        <v>222760</v>
      </c>
      <c r="AB34" s="193">
        <v>67340</v>
      </c>
      <c r="AC34" s="191">
        <f t="shared" si="16"/>
        <v>290100</v>
      </c>
      <c r="AD34" s="188">
        <f t="shared" si="17"/>
        <v>389830</v>
      </c>
      <c r="AE34" s="139"/>
      <c r="AF34" s="182">
        <f t="shared" si="18"/>
        <v>0</v>
      </c>
      <c r="AG34" s="146"/>
      <c r="AH34" s="141">
        <f t="shared" si="19"/>
        <v>389830</v>
      </c>
      <c r="AI34" s="143">
        <f t="shared" si="20"/>
        <v>167070</v>
      </c>
      <c r="AJ34" s="125">
        <f>AF34-'проезд Лизе к бюджету 2018'!B35</f>
        <v>-1</v>
      </c>
      <c r="AK34" s="141">
        <f t="shared" si="21"/>
        <v>167070</v>
      </c>
      <c r="AL34" s="141">
        <f t="shared" si="22"/>
        <v>-67340</v>
      </c>
      <c r="AM34" s="141">
        <f t="shared" si="23"/>
        <v>99730</v>
      </c>
      <c r="AN34" s="155">
        <f t="shared" si="29"/>
        <v>167100</v>
      </c>
      <c r="AO34" s="155">
        <f t="shared" si="30"/>
        <v>-67300</v>
      </c>
      <c r="AP34" s="154">
        <f t="shared" si="31"/>
        <v>99800</v>
      </c>
      <c r="AQ34" s="154">
        <f t="shared" si="25"/>
        <v>99800</v>
      </c>
    </row>
    <row r="35" spans="1:43" ht="14.4" x14ac:dyDescent="0.3">
      <c r="A35" s="21" t="s">
        <v>22</v>
      </c>
      <c r="B35" s="133">
        <v>348</v>
      </c>
      <c r="C35" s="95">
        <v>3</v>
      </c>
      <c r="D35" s="116">
        <v>61</v>
      </c>
      <c r="E35" s="117">
        <v>49</v>
      </c>
      <c r="F35" s="103">
        <f t="shared" si="6"/>
        <v>-12</v>
      </c>
      <c r="G35" s="113">
        <v>3</v>
      </c>
      <c r="H35" s="110">
        <v>7</v>
      </c>
      <c r="I35" s="105">
        <f t="shared" si="7"/>
        <v>4</v>
      </c>
      <c r="J35" s="22">
        <f t="shared" si="0"/>
        <v>13</v>
      </c>
      <c r="K35" s="99">
        <f t="shared" si="0"/>
        <v>10</v>
      </c>
      <c r="L35" s="169">
        <f t="shared" si="8"/>
        <v>3</v>
      </c>
      <c r="M35" s="126">
        <f t="shared" si="26"/>
        <v>7</v>
      </c>
      <c r="N35" s="27">
        <v>3</v>
      </c>
      <c r="O35" s="119">
        <f t="shared" si="9"/>
        <v>83535</v>
      </c>
      <c r="P35" s="119">
        <f t="shared" si="10"/>
        <v>25227.57</v>
      </c>
      <c r="Q35" s="119">
        <f t="shared" si="1"/>
        <v>108762.57</v>
      </c>
      <c r="R35" s="24">
        <f t="shared" si="2"/>
        <v>4.4247787610619468E-3</v>
      </c>
      <c r="S35" s="120">
        <f t="shared" si="32"/>
        <v>2</v>
      </c>
      <c r="T35" s="121">
        <f t="shared" si="11"/>
        <v>55690</v>
      </c>
      <c r="U35" s="121">
        <f t="shared" si="12"/>
        <v>16818.38</v>
      </c>
      <c r="V35" s="121">
        <f t="shared" si="13"/>
        <v>72508.38</v>
      </c>
      <c r="W35" s="122">
        <f t="shared" si="14"/>
        <v>72600</v>
      </c>
      <c r="X35" s="38">
        <f>W35+'проезд Лизе к бюджету 2018'!L36</f>
        <v>145300</v>
      </c>
      <c r="Y35" s="37" t="e">
        <f>#REF!+#REF!</f>
        <v>#REF!</v>
      </c>
      <c r="Z35" s="37" t="e">
        <f t="shared" si="28"/>
        <v>#REF!</v>
      </c>
      <c r="AA35" s="193">
        <v>195025</v>
      </c>
      <c r="AB35" s="193">
        <v>59075</v>
      </c>
      <c r="AC35" s="191">
        <f t="shared" si="16"/>
        <v>254100</v>
      </c>
      <c r="AD35" s="188">
        <f t="shared" si="17"/>
        <v>194915</v>
      </c>
      <c r="AE35" s="139">
        <v>2900</v>
      </c>
      <c r="AF35" s="182">
        <v>3</v>
      </c>
      <c r="AG35" s="146">
        <v>14373.7</v>
      </c>
      <c r="AH35" s="141">
        <f t="shared" si="19"/>
        <v>248439</v>
      </c>
      <c r="AI35" s="143">
        <f t="shared" si="20"/>
        <v>53414</v>
      </c>
      <c r="AJ35" s="125">
        <f>AF35-'проезд Лизе к бюджету 2018'!B36</f>
        <v>0</v>
      </c>
      <c r="AK35" s="141">
        <f t="shared" si="21"/>
        <v>53414</v>
      </c>
      <c r="AL35" s="141">
        <f t="shared" si="22"/>
        <v>-59075</v>
      </c>
      <c r="AM35" s="141">
        <f t="shared" si="23"/>
        <v>-5661</v>
      </c>
      <c r="AN35" s="155">
        <f t="shared" si="29"/>
        <v>53500</v>
      </c>
      <c r="AO35" s="155">
        <f t="shared" si="30"/>
        <v>-59000</v>
      </c>
      <c r="AP35" s="154">
        <f t="shared" si="31"/>
        <v>-5500</v>
      </c>
      <c r="AQ35" s="157"/>
    </row>
    <row r="36" spans="1:43" ht="14.4" x14ac:dyDescent="0.3">
      <c r="A36" s="21" t="s">
        <v>23</v>
      </c>
      <c r="B36" s="132">
        <v>350</v>
      </c>
      <c r="C36" s="95">
        <v>1</v>
      </c>
      <c r="D36" s="116">
        <v>52</v>
      </c>
      <c r="E36" s="117">
        <v>52</v>
      </c>
      <c r="F36" s="103">
        <f t="shared" si="6"/>
        <v>0</v>
      </c>
      <c r="G36" s="113">
        <v>8</v>
      </c>
      <c r="H36" s="110">
        <v>6</v>
      </c>
      <c r="I36" s="105">
        <f t="shared" si="7"/>
        <v>-2</v>
      </c>
      <c r="J36" s="22">
        <f t="shared" ref="J36:K60" si="33">ROUNDUP(D36/5,0)</f>
        <v>11</v>
      </c>
      <c r="K36" s="99">
        <f t="shared" si="33"/>
        <v>11</v>
      </c>
      <c r="L36" s="169">
        <f t="shared" si="8"/>
        <v>5</v>
      </c>
      <c r="M36" s="126">
        <f t="shared" si="26"/>
        <v>6</v>
      </c>
      <c r="N36" s="27">
        <v>8</v>
      </c>
      <c r="O36" s="119">
        <f t="shared" si="9"/>
        <v>222760</v>
      </c>
      <c r="P36" s="119">
        <f t="shared" si="10"/>
        <v>67273.52</v>
      </c>
      <c r="Q36" s="119">
        <f t="shared" si="1"/>
        <v>290033.52</v>
      </c>
      <c r="R36" s="24">
        <f t="shared" si="2"/>
        <v>1.1799410029498525E-2</v>
      </c>
      <c r="S36" s="120">
        <f t="shared" si="32"/>
        <v>6</v>
      </c>
      <c r="T36" s="121">
        <f t="shared" si="11"/>
        <v>167070</v>
      </c>
      <c r="U36" s="121">
        <f t="shared" si="12"/>
        <v>50455.14</v>
      </c>
      <c r="V36" s="121">
        <f t="shared" si="13"/>
        <v>217525.14</v>
      </c>
      <c r="W36" s="122">
        <f t="shared" si="14"/>
        <v>217600</v>
      </c>
      <c r="X36" s="38">
        <f>W36+'проезд Лизе к бюджету 2018'!L37</f>
        <v>241900</v>
      </c>
      <c r="Y36" s="37" t="e">
        <f>#REF!+#REF!</f>
        <v>#REF!</v>
      </c>
      <c r="Z36" s="37" t="e">
        <f t="shared" si="28"/>
        <v>#REF!</v>
      </c>
      <c r="AA36" s="193">
        <v>241360</v>
      </c>
      <c r="AB36" s="193">
        <v>73040</v>
      </c>
      <c r="AC36" s="191">
        <f t="shared" si="16"/>
        <v>314400</v>
      </c>
      <c r="AD36" s="188">
        <f t="shared" si="17"/>
        <v>167070</v>
      </c>
      <c r="AE36" s="139">
        <v>1450</v>
      </c>
      <c r="AF36" s="182">
        <f t="shared" si="18"/>
        <v>1</v>
      </c>
      <c r="AG36" s="146">
        <v>5755</v>
      </c>
      <c r="AH36" s="141">
        <f t="shared" si="19"/>
        <v>185875</v>
      </c>
      <c r="AI36" s="143">
        <f t="shared" si="20"/>
        <v>-55485</v>
      </c>
      <c r="AJ36" s="125">
        <f>AF36-'проезд Лизе к бюджету 2018'!B37</f>
        <v>1</v>
      </c>
      <c r="AK36" s="141">
        <f t="shared" si="21"/>
        <v>-55485</v>
      </c>
      <c r="AL36" s="141">
        <f t="shared" si="22"/>
        <v>-73040</v>
      </c>
      <c r="AM36" s="141">
        <f t="shared" si="23"/>
        <v>-128525</v>
      </c>
      <c r="AN36" s="155">
        <f t="shared" si="29"/>
        <v>-55400</v>
      </c>
      <c r="AO36" s="155">
        <f t="shared" si="30"/>
        <v>-73000</v>
      </c>
      <c r="AP36" s="154">
        <f t="shared" si="31"/>
        <v>-128400</v>
      </c>
      <c r="AQ36" s="154">
        <f t="shared" si="25"/>
        <v>-128400</v>
      </c>
    </row>
    <row r="37" spans="1:43" ht="14.4" x14ac:dyDescent="0.3">
      <c r="A37" s="21" t="s">
        <v>25</v>
      </c>
      <c r="B37" s="132">
        <v>458</v>
      </c>
      <c r="C37" s="95">
        <v>3</v>
      </c>
      <c r="D37" s="116">
        <v>58</v>
      </c>
      <c r="E37" s="117">
        <v>54</v>
      </c>
      <c r="F37" s="103">
        <f t="shared" si="6"/>
        <v>-4</v>
      </c>
      <c r="G37" s="113">
        <v>11</v>
      </c>
      <c r="H37" s="110">
        <v>11</v>
      </c>
      <c r="I37" s="105">
        <f t="shared" si="7"/>
        <v>0</v>
      </c>
      <c r="J37" s="22">
        <f t="shared" si="33"/>
        <v>12</v>
      </c>
      <c r="K37" s="99">
        <f t="shared" si="33"/>
        <v>11</v>
      </c>
      <c r="L37" s="169">
        <f t="shared" si="8"/>
        <v>0</v>
      </c>
      <c r="M37" s="126">
        <f t="shared" si="26"/>
        <v>11</v>
      </c>
      <c r="N37" s="25">
        <v>11</v>
      </c>
      <c r="O37" s="119">
        <f t="shared" si="9"/>
        <v>306295</v>
      </c>
      <c r="P37" s="119">
        <f t="shared" si="10"/>
        <v>92501.09</v>
      </c>
      <c r="Q37" s="119">
        <f t="shared" si="1"/>
        <v>398796.08999999997</v>
      </c>
      <c r="R37" s="24">
        <f t="shared" si="2"/>
        <v>1.6224188790560472E-2</v>
      </c>
      <c r="S37" s="120">
        <f t="shared" si="32"/>
        <v>8</v>
      </c>
      <c r="T37" s="121">
        <f t="shared" si="11"/>
        <v>222760</v>
      </c>
      <c r="U37" s="121">
        <f t="shared" si="12"/>
        <v>67273.52</v>
      </c>
      <c r="V37" s="121">
        <f t="shared" si="13"/>
        <v>290033.52</v>
      </c>
      <c r="W37" s="122">
        <f t="shared" si="14"/>
        <v>290100</v>
      </c>
      <c r="X37" s="38">
        <f>W37+'проезд Лизе к бюджету 2018'!L38</f>
        <v>338600</v>
      </c>
      <c r="Y37" s="37" t="e">
        <f>#REF!+#REF!</f>
        <v>#REF!</v>
      </c>
      <c r="Z37" s="37" t="e">
        <f t="shared" si="28"/>
        <v>#REF!</v>
      </c>
      <c r="AA37" s="193">
        <v>259960</v>
      </c>
      <c r="AB37" s="193">
        <v>78640</v>
      </c>
      <c r="AC37" s="191">
        <f t="shared" si="16"/>
        <v>338600</v>
      </c>
      <c r="AD37" s="188">
        <f t="shared" si="17"/>
        <v>306295</v>
      </c>
      <c r="AE37" s="139">
        <v>2900</v>
      </c>
      <c r="AF37" s="182">
        <f t="shared" si="18"/>
        <v>2</v>
      </c>
      <c r="AG37" s="146">
        <v>11550</v>
      </c>
      <c r="AH37" s="141">
        <f t="shared" si="19"/>
        <v>343945</v>
      </c>
      <c r="AI37" s="143">
        <f t="shared" si="20"/>
        <v>83985</v>
      </c>
      <c r="AJ37" s="125">
        <f>AF37-'проезд Лизе к бюджету 2018'!B38</f>
        <v>2</v>
      </c>
      <c r="AK37" s="141">
        <f t="shared" si="21"/>
        <v>83985</v>
      </c>
      <c r="AL37" s="141">
        <f t="shared" si="22"/>
        <v>-78640</v>
      </c>
      <c r="AM37" s="141">
        <f t="shared" si="23"/>
        <v>5345</v>
      </c>
      <c r="AN37" s="155">
        <f t="shared" si="29"/>
        <v>84000</v>
      </c>
      <c r="AO37" s="155">
        <f t="shared" si="30"/>
        <v>-78600</v>
      </c>
      <c r="AP37" s="154">
        <f t="shared" si="31"/>
        <v>5400</v>
      </c>
      <c r="AQ37" s="154">
        <f t="shared" si="25"/>
        <v>5400</v>
      </c>
    </row>
    <row r="38" spans="1:43" ht="14.4" x14ac:dyDescent="0.3">
      <c r="A38" s="21" t="s">
        <v>26</v>
      </c>
      <c r="B38" s="132">
        <v>497</v>
      </c>
      <c r="C38" s="95">
        <v>2</v>
      </c>
      <c r="D38" s="116">
        <v>46</v>
      </c>
      <c r="E38" s="117">
        <v>43</v>
      </c>
      <c r="F38" s="103">
        <f t="shared" si="6"/>
        <v>-3</v>
      </c>
      <c r="G38" s="113">
        <v>10</v>
      </c>
      <c r="H38" s="110">
        <v>10</v>
      </c>
      <c r="I38" s="105">
        <f t="shared" si="7"/>
        <v>0</v>
      </c>
      <c r="J38" s="22">
        <f t="shared" si="33"/>
        <v>10</v>
      </c>
      <c r="K38" s="99">
        <f t="shared" si="33"/>
        <v>9</v>
      </c>
      <c r="L38" s="169">
        <f t="shared" si="8"/>
        <v>-1</v>
      </c>
      <c r="M38" s="178">
        <f>IF(H38&gt;K38,K38,H38)+1</f>
        <v>10</v>
      </c>
      <c r="N38" s="25">
        <v>2</v>
      </c>
      <c r="O38" s="119">
        <f t="shared" si="9"/>
        <v>55690</v>
      </c>
      <c r="P38" s="119">
        <f t="shared" si="10"/>
        <v>16818.38</v>
      </c>
      <c r="Q38" s="119">
        <f t="shared" si="1"/>
        <v>72508.38</v>
      </c>
      <c r="R38" s="24">
        <f t="shared" si="2"/>
        <v>2.9498525073746312E-3</v>
      </c>
      <c r="S38" s="120">
        <f t="shared" si="32"/>
        <v>1</v>
      </c>
      <c r="T38" s="121">
        <f t="shared" si="11"/>
        <v>27845</v>
      </c>
      <c r="U38" s="121">
        <f t="shared" si="12"/>
        <v>8409.19</v>
      </c>
      <c r="V38" s="121">
        <f t="shared" si="13"/>
        <v>36254.19</v>
      </c>
      <c r="W38" s="122">
        <f t="shared" si="14"/>
        <v>36300.000000000007</v>
      </c>
      <c r="X38" s="38">
        <f>W38+'проезд Лизе к бюджету 2018'!L39</f>
        <v>84800</v>
      </c>
      <c r="Y38" s="37" t="e">
        <f>#REF!+#REF!</f>
        <v>#REF!</v>
      </c>
      <c r="Z38" s="37" t="e">
        <f t="shared" si="28"/>
        <v>#REF!</v>
      </c>
      <c r="AA38" s="193">
        <v>92890</v>
      </c>
      <c r="AB38" s="193">
        <v>28210</v>
      </c>
      <c r="AC38" s="191">
        <f t="shared" si="16"/>
        <v>121100</v>
      </c>
      <c r="AD38" s="188">
        <f t="shared" si="17"/>
        <v>278450</v>
      </c>
      <c r="AE38" s="139">
        <v>2900</v>
      </c>
      <c r="AF38" s="182">
        <f t="shared" si="18"/>
        <v>2</v>
      </c>
      <c r="AG38" s="146">
        <v>11522.5</v>
      </c>
      <c r="AH38" s="141">
        <f t="shared" si="19"/>
        <v>316073</v>
      </c>
      <c r="AI38" s="143">
        <f t="shared" si="20"/>
        <v>223183</v>
      </c>
      <c r="AJ38" s="125">
        <f>AF38-'проезд Лизе к бюджету 2018'!B39</f>
        <v>2</v>
      </c>
      <c r="AK38" s="141">
        <f t="shared" si="21"/>
        <v>223183</v>
      </c>
      <c r="AL38" s="141">
        <f t="shared" si="22"/>
        <v>-28210</v>
      </c>
      <c r="AM38" s="141">
        <f t="shared" si="23"/>
        <v>194973</v>
      </c>
      <c r="AN38" s="155">
        <f t="shared" si="29"/>
        <v>223200</v>
      </c>
      <c r="AO38" s="155">
        <f t="shared" si="30"/>
        <v>-28200</v>
      </c>
      <c r="AP38" s="154">
        <f t="shared" si="31"/>
        <v>195000</v>
      </c>
      <c r="AQ38" s="154">
        <f>AP38</f>
        <v>195000</v>
      </c>
    </row>
    <row r="39" spans="1:43" ht="14.4" x14ac:dyDescent="0.3">
      <c r="A39" s="21" t="s">
        <v>8</v>
      </c>
      <c r="B39" s="132">
        <v>498</v>
      </c>
      <c r="C39" s="95">
        <v>1</v>
      </c>
      <c r="D39" s="106">
        <v>65</v>
      </c>
      <c r="E39" s="176">
        <v>65</v>
      </c>
      <c r="F39" s="103">
        <f t="shared" si="6"/>
        <v>0</v>
      </c>
      <c r="G39" s="111">
        <v>13</v>
      </c>
      <c r="H39" s="104">
        <v>16</v>
      </c>
      <c r="I39" s="105">
        <f t="shared" si="7"/>
        <v>3</v>
      </c>
      <c r="J39" s="22">
        <f t="shared" si="33"/>
        <v>13</v>
      </c>
      <c r="K39" s="170">
        <f t="shared" si="33"/>
        <v>13</v>
      </c>
      <c r="L39" s="169">
        <f t="shared" si="8"/>
        <v>-3</v>
      </c>
      <c r="M39" s="126">
        <f t="shared" si="26"/>
        <v>13</v>
      </c>
      <c r="N39" s="27">
        <v>13</v>
      </c>
      <c r="O39" s="119">
        <f t="shared" si="9"/>
        <v>361985</v>
      </c>
      <c r="P39" s="119">
        <f t="shared" si="10"/>
        <v>109319.47</v>
      </c>
      <c r="Q39" s="119">
        <f t="shared" si="1"/>
        <v>471304.47</v>
      </c>
      <c r="R39" s="24">
        <f t="shared" si="2"/>
        <v>1.9174041297935103E-2</v>
      </c>
      <c r="S39" s="120">
        <f t="shared" si="32"/>
        <v>10</v>
      </c>
      <c r="T39" s="121">
        <f t="shared" si="11"/>
        <v>278450</v>
      </c>
      <c r="U39" s="121">
        <f t="shared" si="12"/>
        <v>84091.9</v>
      </c>
      <c r="V39" s="121">
        <f t="shared" si="13"/>
        <v>362541.9</v>
      </c>
      <c r="W39" s="122">
        <f t="shared" si="14"/>
        <v>362600</v>
      </c>
      <c r="X39" s="38">
        <f>W39+'проезд Лизе к бюджету 2018'!L40</f>
        <v>411100</v>
      </c>
      <c r="Y39" s="37" t="e">
        <f>#REF!+#REF!</f>
        <v>#REF!</v>
      </c>
      <c r="Z39" s="37" t="e">
        <f t="shared" si="28"/>
        <v>#REF!</v>
      </c>
      <c r="AA39" s="193">
        <v>315650</v>
      </c>
      <c r="AB39" s="193">
        <v>95450</v>
      </c>
      <c r="AC39" s="191">
        <f t="shared" si="16"/>
        <v>411100</v>
      </c>
      <c r="AD39" s="188">
        <f t="shared" si="17"/>
        <v>361985</v>
      </c>
      <c r="AE39" s="139">
        <v>1441.83</v>
      </c>
      <c r="AF39" s="181">
        <f t="shared" si="18"/>
        <v>1</v>
      </c>
      <c r="AG39" s="146">
        <v>1441.83</v>
      </c>
      <c r="AH39" s="141">
        <f t="shared" si="19"/>
        <v>376477</v>
      </c>
      <c r="AI39" s="143">
        <f t="shared" si="20"/>
        <v>60827</v>
      </c>
      <c r="AJ39" s="125">
        <f>AF39-'проезд Лизе к бюджету 2018'!B40</f>
        <v>-3</v>
      </c>
      <c r="AK39" s="141">
        <f t="shared" si="21"/>
        <v>60827</v>
      </c>
      <c r="AL39" s="141">
        <f t="shared" si="22"/>
        <v>-95450</v>
      </c>
      <c r="AM39" s="141">
        <f t="shared" si="23"/>
        <v>-34623</v>
      </c>
      <c r="AN39" s="155">
        <f t="shared" si="29"/>
        <v>60900</v>
      </c>
      <c r="AO39" s="155">
        <f t="shared" si="30"/>
        <v>-95400</v>
      </c>
      <c r="AP39" s="154">
        <f t="shared" si="31"/>
        <v>-34500</v>
      </c>
      <c r="AQ39" s="154">
        <f t="shared" si="25"/>
        <v>-34500</v>
      </c>
    </row>
    <row r="40" spans="1:43" ht="14.4" x14ac:dyDescent="0.3">
      <c r="A40" s="21" t="s">
        <v>27</v>
      </c>
      <c r="B40" s="132">
        <v>512</v>
      </c>
      <c r="C40" s="95">
        <v>1</v>
      </c>
      <c r="D40" s="106">
        <v>50</v>
      </c>
      <c r="E40" s="101">
        <v>50</v>
      </c>
      <c r="F40" s="103">
        <f t="shared" si="6"/>
        <v>0</v>
      </c>
      <c r="G40" s="111">
        <v>13</v>
      </c>
      <c r="H40" s="104">
        <v>11</v>
      </c>
      <c r="I40" s="105">
        <f t="shared" si="7"/>
        <v>-2</v>
      </c>
      <c r="J40" s="22">
        <f t="shared" si="33"/>
        <v>10</v>
      </c>
      <c r="K40" s="170">
        <f t="shared" si="33"/>
        <v>10</v>
      </c>
      <c r="L40" s="169">
        <f t="shared" si="8"/>
        <v>-1</v>
      </c>
      <c r="M40" s="126">
        <f t="shared" si="26"/>
        <v>10</v>
      </c>
      <c r="N40" s="27">
        <v>10</v>
      </c>
      <c r="O40" s="119">
        <f t="shared" si="9"/>
        <v>278450</v>
      </c>
      <c r="P40" s="119">
        <f t="shared" si="10"/>
        <v>84091.9</v>
      </c>
      <c r="Q40" s="119">
        <f t="shared" si="1"/>
        <v>362541.9</v>
      </c>
      <c r="R40" s="24">
        <f t="shared" si="2"/>
        <v>1.4749262536873156E-2</v>
      </c>
      <c r="S40" s="120">
        <f t="shared" si="32"/>
        <v>7</v>
      </c>
      <c r="T40" s="121">
        <f t="shared" si="11"/>
        <v>194915</v>
      </c>
      <c r="U40" s="121">
        <f t="shared" si="12"/>
        <v>58864.33</v>
      </c>
      <c r="V40" s="121">
        <f t="shared" si="13"/>
        <v>253779.33000000002</v>
      </c>
      <c r="W40" s="122">
        <f t="shared" si="14"/>
        <v>253799.99999999997</v>
      </c>
      <c r="X40" s="38">
        <f>W40+'проезд Лизе к бюджету 2018'!L41</f>
        <v>278100</v>
      </c>
      <c r="Y40" s="37" t="e">
        <f>#REF!+#REF!</f>
        <v>#REF!</v>
      </c>
      <c r="Z40" s="37" t="e">
        <f t="shared" si="28"/>
        <v>#REF!</v>
      </c>
      <c r="AA40" s="193">
        <v>157825</v>
      </c>
      <c r="AB40" s="193">
        <v>47875</v>
      </c>
      <c r="AC40" s="191">
        <f t="shared" si="16"/>
        <v>205700</v>
      </c>
      <c r="AD40" s="188">
        <f t="shared" si="17"/>
        <v>278450</v>
      </c>
      <c r="AE40" s="139">
        <v>1450</v>
      </c>
      <c r="AF40" s="182">
        <f t="shared" si="18"/>
        <v>1</v>
      </c>
      <c r="AG40" s="146">
        <v>5782.5</v>
      </c>
      <c r="AH40" s="141">
        <f t="shared" si="19"/>
        <v>297283</v>
      </c>
      <c r="AI40" s="143">
        <f t="shared" si="20"/>
        <v>139458</v>
      </c>
      <c r="AJ40" s="125">
        <f>AF40-'проезд Лизе к бюджету 2018'!B41</f>
        <v>0</v>
      </c>
      <c r="AK40" s="141">
        <f t="shared" si="21"/>
        <v>139458</v>
      </c>
      <c r="AL40" s="141">
        <f t="shared" si="22"/>
        <v>-47875</v>
      </c>
      <c r="AM40" s="141">
        <f t="shared" si="23"/>
        <v>91583</v>
      </c>
      <c r="AN40" s="155">
        <f t="shared" si="29"/>
        <v>139500</v>
      </c>
      <c r="AO40" s="155">
        <f t="shared" si="30"/>
        <v>-47800</v>
      </c>
      <c r="AP40" s="154">
        <f t="shared" si="31"/>
        <v>91700</v>
      </c>
      <c r="AQ40" s="154">
        <f t="shared" si="25"/>
        <v>91700</v>
      </c>
    </row>
    <row r="41" spans="1:43" ht="14.4" x14ac:dyDescent="0.3">
      <c r="A41" s="21" t="s">
        <v>28</v>
      </c>
      <c r="B41" s="132">
        <v>513</v>
      </c>
      <c r="C41" s="95">
        <v>6</v>
      </c>
      <c r="D41" s="106">
        <v>73</v>
      </c>
      <c r="E41" s="101">
        <v>75</v>
      </c>
      <c r="F41" s="103">
        <f t="shared" si="6"/>
        <v>2</v>
      </c>
      <c r="G41" s="111">
        <v>17</v>
      </c>
      <c r="H41" s="104">
        <v>15</v>
      </c>
      <c r="I41" s="105">
        <f t="shared" si="7"/>
        <v>-2</v>
      </c>
      <c r="J41" s="22">
        <f t="shared" si="33"/>
        <v>15</v>
      </c>
      <c r="K41" s="99">
        <f t="shared" si="33"/>
        <v>15</v>
      </c>
      <c r="L41" s="169">
        <f t="shared" si="8"/>
        <v>0</v>
      </c>
      <c r="M41" s="126">
        <f t="shared" si="26"/>
        <v>15</v>
      </c>
      <c r="N41" s="27">
        <v>15</v>
      </c>
      <c r="O41" s="119">
        <f t="shared" si="9"/>
        <v>417675</v>
      </c>
      <c r="P41" s="119">
        <f t="shared" si="10"/>
        <v>126137.84999999999</v>
      </c>
      <c r="Q41" s="119">
        <f t="shared" si="1"/>
        <v>543812.85</v>
      </c>
      <c r="R41" s="24">
        <f t="shared" si="2"/>
        <v>2.2123893805309734E-2</v>
      </c>
      <c r="S41" s="120">
        <f>ROUND(R41*$O$83,0)-1</f>
        <v>10</v>
      </c>
      <c r="T41" s="121">
        <f t="shared" si="11"/>
        <v>278450</v>
      </c>
      <c r="U41" s="121">
        <f t="shared" si="12"/>
        <v>84091.9</v>
      </c>
      <c r="V41" s="121">
        <f t="shared" si="13"/>
        <v>362541.9</v>
      </c>
      <c r="W41" s="122">
        <f t="shared" si="14"/>
        <v>362600</v>
      </c>
      <c r="X41" s="38">
        <f>W41+'проезд Лизе к бюджету 2018'!L42</f>
        <v>556400</v>
      </c>
      <c r="Y41" s="37" t="e">
        <f>#REF!+#REF!</f>
        <v>#REF!</v>
      </c>
      <c r="Z41" s="37" t="e">
        <f t="shared" si="28"/>
        <v>#REF!</v>
      </c>
      <c r="AA41" s="193">
        <v>482940</v>
      </c>
      <c r="AB41" s="193">
        <v>145060</v>
      </c>
      <c r="AC41" s="191">
        <f t="shared" si="16"/>
        <v>628000</v>
      </c>
      <c r="AD41" s="188">
        <f t="shared" si="17"/>
        <v>417675</v>
      </c>
      <c r="AE41" s="139">
        <v>10150</v>
      </c>
      <c r="AF41" s="182">
        <v>6</v>
      </c>
      <c r="AG41" s="146">
        <v>43375.3</v>
      </c>
      <c r="AH41" s="141">
        <f t="shared" si="19"/>
        <v>539351</v>
      </c>
      <c r="AI41" s="143">
        <f t="shared" si="20"/>
        <v>56411</v>
      </c>
      <c r="AJ41" s="125">
        <f>AF41-'проезд Лизе к бюджету 2018'!B42</f>
        <v>-1</v>
      </c>
      <c r="AK41" s="141">
        <f t="shared" si="21"/>
        <v>56411</v>
      </c>
      <c r="AL41" s="141">
        <f t="shared" si="22"/>
        <v>-145060</v>
      </c>
      <c r="AM41" s="141">
        <f t="shared" si="23"/>
        <v>-88649</v>
      </c>
      <c r="AN41" s="155">
        <f t="shared" si="29"/>
        <v>56500</v>
      </c>
      <c r="AO41" s="155">
        <f t="shared" si="30"/>
        <v>-145000</v>
      </c>
      <c r="AP41" s="154">
        <f t="shared" si="31"/>
        <v>-88500</v>
      </c>
      <c r="AQ41" s="154">
        <f t="shared" si="25"/>
        <v>-88500</v>
      </c>
    </row>
    <row r="42" spans="1:43" ht="14.4" x14ac:dyDescent="0.3">
      <c r="A42" s="21" t="s">
        <v>29</v>
      </c>
      <c r="B42" s="132">
        <v>516</v>
      </c>
      <c r="C42" s="95">
        <v>2</v>
      </c>
      <c r="D42" s="106">
        <v>45</v>
      </c>
      <c r="E42" s="101">
        <v>38</v>
      </c>
      <c r="F42" s="103">
        <f t="shared" si="6"/>
        <v>-7</v>
      </c>
      <c r="G42" s="111">
        <v>9</v>
      </c>
      <c r="H42" s="104">
        <v>7</v>
      </c>
      <c r="I42" s="105">
        <f t="shared" si="7"/>
        <v>-2</v>
      </c>
      <c r="J42" s="22">
        <f t="shared" si="33"/>
        <v>9</v>
      </c>
      <c r="K42" s="99">
        <f t="shared" si="33"/>
        <v>8</v>
      </c>
      <c r="L42" s="169">
        <f t="shared" si="8"/>
        <v>1</v>
      </c>
      <c r="M42" s="126">
        <f t="shared" si="26"/>
        <v>7</v>
      </c>
      <c r="N42" s="27">
        <v>9</v>
      </c>
      <c r="O42" s="119">
        <f t="shared" si="9"/>
        <v>250605</v>
      </c>
      <c r="P42" s="119">
        <f t="shared" si="10"/>
        <v>75682.709999999992</v>
      </c>
      <c r="Q42" s="119">
        <f t="shared" si="1"/>
        <v>326287.70999999996</v>
      </c>
      <c r="R42" s="24">
        <f t="shared" si="2"/>
        <v>1.3274336283185841E-2</v>
      </c>
      <c r="S42" s="120">
        <f>ROUND(R42*$O$83,0)</f>
        <v>7</v>
      </c>
      <c r="T42" s="121">
        <f t="shared" si="11"/>
        <v>194915</v>
      </c>
      <c r="U42" s="121">
        <f t="shared" si="12"/>
        <v>58864.33</v>
      </c>
      <c r="V42" s="121">
        <f t="shared" si="13"/>
        <v>253779.33000000002</v>
      </c>
      <c r="W42" s="122">
        <f t="shared" si="14"/>
        <v>253799.99999999997</v>
      </c>
      <c r="X42" s="38">
        <f>W42+'проезд Лизе к бюджету 2018'!L43</f>
        <v>350699.99999999994</v>
      </c>
      <c r="Y42" s="37" t="e">
        <f>#REF!+#REF!</f>
        <v>#REF!</v>
      </c>
      <c r="Z42" s="37" t="e">
        <f t="shared" si="28"/>
        <v>#REF!</v>
      </c>
      <c r="AA42" s="193">
        <v>213625</v>
      </c>
      <c r="AB42" s="193">
        <v>64675</v>
      </c>
      <c r="AC42" s="191">
        <f t="shared" si="16"/>
        <v>278300</v>
      </c>
      <c r="AD42" s="188">
        <f t="shared" si="17"/>
        <v>194915</v>
      </c>
      <c r="AE42" s="139">
        <v>5800</v>
      </c>
      <c r="AF42" s="182">
        <f>ROUND(AE42/1450,0)</f>
        <v>4</v>
      </c>
      <c r="AG42" s="146">
        <v>23108.3</v>
      </c>
      <c r="AH42" s="141">
        <f t="shared" si="19"/>
        <v>270224</v>
      </c>
      <c r="AI42" s="143">
        <f t="shared" si="20"/>
        <v>56599</v>
      </c>
      <c r="AJ42" s="125">
        <f>AF42-'проезд Лизе к бюджету 2018'!B43</f>
        <v>1</v>
      </c>
      <c r="AK42" s="141">
        <f t="shared" si="21"/>
        <v>56599</v>
      </c>
      <c r="AL42" s="141">
        <f t="shared" si="22"/>
        <v>-64675</v>
      </c>
      <c r="AM42" s="141">
        <f t="shared" si="23"/>
        <v>-8076</v>
      </c>
      <c r="AN42" s="155">
        <f t="shared" si="29"/>
        <v>56600</v>
      </c>
      <c r="AO42" s="155">
        <f t="shared" si="30"/>
        <v>-64599.999999999993</v>
      </c>
      <c r="AP42" s="154">
        <f t="shared" si="31"/>
        <v>-7999.9999999999927</v>
      </c>
      <c r="AQ42" s="157"/>
    </row>
    <row r="43" spans="1:43" ht="14.4" x14ac:dyDescent="0.3">
      <c r="A43" s="21" t="s">
        <v>30</v>
      </c>
      <c r="B43" s="132">
        <v>527</v>
      </c>
      <c r="C43" s="95">
        <v>1</v>
      </c>
      <c r="D43" s="106">
        <v>39</v>
      </c>
      <c r="E43" s="101">
        <v>39</v>
      </c>
      <c r="F43" s="103">
        <f t="shared" si="6"/>
        <v>0</v>
      </c>
      <c r="G43" s="111">
        <v>8</v>
      </c>
      <c r="H43" s="104">
        <v>8</v>
      </c>
      <c r="I43" s="105">
        <f t="shared" si="7"/>
        <v>0</v>
      </c>
      <c r="J43" s="22">
        <f t="shared" si="33"/>
        <v>8</v>
      </c>
      <c r="K43" s="99">
        <f t="shared" si="33"/>
        <v>8</v>
      </c>
      <c r="L43" s="169">
        <f t="shared" si="8"/>
        <v>0</v>
      </c>
      <c r="M43" s="126">
        <f t="shared" si="26"/>
        <v>8</v>
      </c>
      <c r="N43" s="27">
        <v>8</v>
      </c>
      <c r="O43" s="119">
        <f t="shared" si="9"/>
        <v>222760</v>
      </c>
      <c r="P43" s="119">
        <f t="shared" si="10"/>
        <v>67273.52</v>
      </c>
      <c r="Q43" s="119">
        <f t="shared" si="1"/>
        <v>290033.52</v>
      </c>
      <c r="R43" s="24">
        <f t="shared" si="2"/>
        <v>1.1799410029498525E-2</v>
      </c>
      <c r="S43" s="120">
        <f>ROUND(R43*$O$83,0)</f>
        <v>6</v>
      </c>
      <c r="T43" s="121">
        <f t="shared" si="11"/>
        <v>167070</v>
      </c>
      <c r="U43" s="121">
        <f t="shared" si="12"/>
        <v>50455.14</v>
      </c>
      <c r="V43" s="121">
        <f t="shared" si="13"/>
        <v>217525.14</v>
      </c>
      <c r="W43" s="122">
        <f t="shared" si="14"/>
        <v>217600</v>
      </c>
      <c r="X43" s="38">
        <f>W43+'проезд Лизе к бюджету 2018'!L44</f>
        <v>217600</v>
      </c>
      <c r="Y43" s="37" t="e">
        <f>#REF!+#REF!</f>
        <v>#REF!</v>
      </c>
      <c r="Z43" s="37" t="e">
        <f t="shared" si="28"/>
        <v>#REF!</v>
      </c>
      <c r="AA43" s="193">
        <v>167070</v>
      </c>
      <c r="AB43" s="193">
        <v>50530</v>
      </c>
      <c r="AC43" s="191">
        <f t="shared" si="16"/>
        <v>217600</v>
      </c>
      <c r="AD43" s="188">
        <f t="shared" si="17"/>
        <v>222760</v>
      </c>
      <c r="AE43" s="139"/>
      <c r="AF43" s="182">
        <f t="shared" si="18"/>
        <v>0</v>
      </c>
      <c r="AG43" s="146"/>
      <c r="AH43" s="141">
        <f t="shared" si="19"/>
        <v>222760</v>
      </c>
      <c r="AI43" s="143">
        <f t="shared" si="20"/>
        <v>55690</v>
      </c>
      <c r="AJ43" s="125">
        <f>AF43-'проезд Лизе к бюджету 2018'!B44</f>
        <v>-1</v>
      </c>
      <c r="AK43" s="141">
        <f t="shared" si="21"/>
        <v>55690</v>
      </c>
      <c r="AL43" s="141">
        <f t="shared" si="22"/>
        <v>-50530</v>
      </c>
      <c r="AM43" s="141">
        <f t="shared" si="23"/>
        <v>5160</v>
      </c>
      <c r="AN43" s="155">
        <f t="shared" si="29"/>
        <v>55700</v>
      </c>
      <c r="AO43" s="155">
        <f t="shared" si="30"/>
        <v>-50500</v>
      </c>
      <c r="AP43" s="154">
        <f t="shared" si="31"/>
        <v>5200</v>
      </c>
      <c r="AQ43" s="154">
        <f t="shared" si="25"/>
        <v>5200</v>
      </c>
    </row>
    <row r="44" spans="1:43" ht="14.4" x14ac:dyDescent="0.3">
      <c r="A44" s="21" t="s">
        <v>38</v>
      </c>
      <c r="B44" s="132">
        <v>528</v>
      </c>
      <c r="C44" s="95">
        <v>1</v>
      </c>
      <c r="D44" s="116">
        <v>86</v>
      </c>
      <c r="E44" s="177">
        <v>86</v>
      </c>
      <c r="F44" s="103">
        <f t="shared" si="6"/>
        <v>0</v>
      </c>
      <c r="G44" s="113">
        <v>20</v>
      </c>
      <c r="H44" s="110">
        <v>20</v>
      </c>
      <c r="I44" s="105">
        <f t="shared" si="7"/>
        <v>0</v>
      </c>
      <c r="J44" s="22">
        <f t="shared" si="33"/>
        <v>18</v>
      </c>
      <c r="K44" s="170">
        <f t="shared" si="33"/>
        <v>18</v>
      </c>
      <c r="L44" s="169">
        <f t="shared" si="8"/>
        <v>-2</v>
      </c>
      <c r="M44" s="126">
        <f t="shared" si="26"/>
        <v>18</v>
      </c>
      <c r="N44" s="27">
        <v>18</v>
      </c>
      <c r="O44" s="119">
        <f t="shared" si="9"/>
        <v>501210</v>
      </c>
      <c r="P44" s="119">
        <f t="shared" si="10"/>
        <v>151365.41999999998</v>
      </c>
      <c r="Q44" s="119">
        <f t="shared" si="1"/>
        <v>652575.41999999993</v>
      </c>
      <c r="R44" s="24">
        <f t="shared" si="2"/>
        <v>2.6548672566371681E-2</v>
      </c>
      <c r="S44" s="120">
        <f>ROUND(R44*$O$83,0)-1</f>
        <v>12</v>
      </c>
      <c r="T44" s="121">
        <f t="shared" si="11"/>
        <v>334140</v>
      </c>
      <c r="U44" s="121">
        <f t="shared" si="12"/>
        <v>100910.28</v>
      </c>
      <c r="V44" s="121">
        <f t="shared" si="13"/>
        <v>435050.28</v>
      </c>
      <c r="W44" s="122">
        <f t="shared" si="14"/>
        <v>435100</v>
      </c>
      <c r="X44" s="38">
        <f>W44+'проезд Лизе к бюджету 2018'!L45</f>
        <v>459400</v>
      </c>
      <c r="Y44" s="37" t="e">
        <f>#REF!+#REF!</f>
        <v>#REF!</v>
      </c>
      <c r="Z44" s="37" t="e">
        <f t="shared" si="28"/>
        <v>#REF!</v>
      </c>
      <c r="AA44" s="193">
        <v>380585</v>
      </c>
      <c r="AB44" s="193">
        <v>115115</v>
      </c>
      <c r="AC44" s="191">
        <f t="shared" si="16"/>
        <v>495700</v>
      </c>
      <c r="AD44" s="188">
        <f t="shared" si="17"/>
        <v>501210</v>
      </c>
      <c r="AE44" s="139">
        <v>1449.5</v>
      </c>
      <c r="AF44" s="181">
        <f t="shared" si="18"/>
        <v>1</v>
      </c>
      <c r="AG44" s="146">
        <v>5800</v>
      </c>
      <c r="AH44" s="141">
        <f t="shared" si="19"/>
        <v>520060</v>
      </c>
      <c r="AI44" s="143">
        <f t="shared" si="20"/>
        <v>139475</v>
      </c>
      <c r="AJ44" s="125">
        <f>AF44-'проезд Лизе к бюджету 2018'!B45</f>
        <v>0</v>
      </c>
      <c r="AK44" s="141">
        <f t="shared" si="21"/>
        <v>139475</v>
      </c>
      <c r="AL44" s="141">
        <f t="shared" si="22"/>
        <v>-115115</v>
      </c>
      <c r="AM44" s="141">
        <f t="shared" si="23"/>
        <v>24360</v>
      </c>
      <c r="AN44" s="155">
        <f t="shared" si="29"/>
        <v>139500</v>
      </c>
      <c r="AO44" s="155">
        <f t="shared" si="30"/>
        <v>-115100</v>
      </c>
      <c r="AP44" s="154">
        <f t="shared" si="31"/>
        <v>24400</v>
      </c>
      <c r="AQ44" s="154">
        <f t="shared" si="25"/>
        <v>24400</v>
      </c>
    </row>
    <row r="45" spans="1:43" ht="14.4" x14ac:dyDescent="0.3">
      <c r="A45" s="21" t="s">
        <v>49</v>
      </c>
      <c r="B45" s="132">
        <v>557</v>
      </c>
      <c r="C45" s="95">
        <v>1</v>
      </c>
      <c r="D45" s="116">
        <v>47</v>
      </c>
      <c r="E45" s="117">
        <v>45</v>
      </c>
      <c r="F45" s="103">
        <f t="shared" si="6"/>
        <v>-2</v>
      </c>
      <c r="G45" s="113">
        <v>15</v>
      </c>
      <c r="H45" s="110">
        <v>9</v>
      </c>
      <c r="I45" s="105">
        <f t="shared" si="7"/>
        <v>-6</v>
      </c>
      <c r="J45" s="22">
        <f t="shared" si="33"/>
        <v>10</v>
      </c>
      <c r="K45" s="99">
        <f t="shared" si="33"/>
        <v>9</v>
      </c>
      <c r="L45" s="169">
        <f t="shared" si="8"/>
        <v>0</v>
      </c>
      <c r="M45" s="126">
        <f t="shared" si="26"/>
        <v>9</v>
      </c>
      <c r="N45" s="27">
        <v>10</v>
      </c>
      <c r="O45" s="119">
        <f t="shared" si="9"/>
        <v>278450</v>
      </c>
      <c r="P45" s="119">
        <f t="shared" si="10"/>
        <v>84091.9</v>
      </c>
      <c r="Q45" s="119">
        <f t="shared" si="1"/>
        <v>362541.9</v>
      </c>
      <c r="R45" s="24">
        <f t="shared" si="2"/>
        <v>1.4749262536873156E-2</v>
      </c>
      <c r="S45" s="120">
        <f t="shared" ref="S45:S54" si="34">ROUND(R45*$O$83,0)</f>
        <v>7</v>
      </c>
      <c r="T45" s="121">
        <f t="shared" si="11"/>
        <v>194915</v>
      </c>
      <c r="U45" s="121">
        <f t="shared" si="12"/>
        <v>58864.33</v>
      </c>
      <c r="V45" s="121">
        <f t="shared" si="13"/>
        <v>253779.33000000002</v>
      </c>
      <c r="W45" s="122">
        <f t="shared" si="14"/>
        <v>253799.99999999997</v>
      </c>
      <c r="X45" s="38">
        <f>W45+'проезд Лизе к бюджету 2018'!L46</f>
        <v>302300</v>
      </c>
      <c r="Y45" s="37" t="e">
        <f>#REF!+#REF!</f>
        <v>#REF!</v>
      </c>
      <c r="Z45" s="37" t="e">
        <f t="shared" si="28"/>
        <v>#REF!</v>
      </c>
      <c r="AA45" s="193">
        <v>259960</v>
      </c>
      <c r="AB45" s="193">
        <v>78640</v>
      </c>
      <c r="AC45" s="191">
        <f t="shared" si="16"/>
        <v>338600</v>
      </c>
      <c r="AD45" s="188">
        <f t="shared" si="17"/>
        <v>250605</v>
      </c>
      <c r="AE45" s="139">
        <v>2900</v>
      </c>
      <c r="AF45" s="182">
        <v>1</v>
      </c>
      <c r="AG45" s="146">
        <v>11520.4</v>
      </c>
      <c r="AH45" s="141">
        <f t="shared" si="19"/>
        <v>275176</v>
      </c>
      <c r="AI45" s="143">
        <f t="shared" si="20"/>
        <v>15216</v>
      </c>
      <c r="AJ45" s="125">
        <f>AF45-'проезд Лизе к бюджету 2018'!B46</f>
        <v>0</v>
      </c>
      <c r="AK45" s="141">
        <f t="shared" si="21"/>
        <v>15216</v>
      </c>
      <c r="AL45" s="141">
        <f t="shared" si="22"/>
        <v>-78640</v>
      </c>
      <c r="AM45" s="141">
        <f t="shared" si="23"/>
        <v>-63424</v>
      </c>
      <c r="AN45" s="155">
        <f t="shared" si="29"/>
        <v>15299.999999999998</v>
      </c>
      <c r="AO45" s="155">
        <f t="shared" si="30"/>
        <v>-78600</v>
      </c>
      <c r="AP45" s="154">
        <f t="shared" si="31"/>
        <v>-63300</v>
      </c>
      <c r="AQ45" s="154">
        <f t="shared" si="25"/>
        <v>-63300</v>
      </c>
    </row>
    <row r="46" spans="1:43" ht="14.4" x14ac:dyDescent="0.3">
      <c r="A46" s="21" t="s">
        <v>31</v>
      </c>
      <c r="B46" s="132">
        <v>569</v>
      </c>
      <c r="C46" s="95">
        <v>4</v>
      </c>
      <c r="D46" s="116">
        <v>67</v>
      </c>
      <c r="E46" s="117">
        <v>66</v>
      </c>
      <c r="F46" s="103">
        <f t="shared" si="6"/>
        <v>-1</v>
      </c>
      <c r="G46" s="113">
        <v>25</v>
      </c>
      <c r="H46" s="110">
        <v>17</v>
      </c>
      <c r="I46" s="105">
        <f t="shared" si="7"/>
        <v>-8</v>
      </c>
      <c r="J46" s="22">
        <f t="shared" si="33"/>
        <v>14</v>
      </c>
      <c r="K46" s="170">
        <f t="shared" si="33"/>
        <v>14</v>
      </c>
      <c r="L46" s="169">
        <f t="shared" si="8"/>
        <v>-3</v>
      </c>
      <c r="M46" s="126">
        <f t="shared" si="26"/>
        <v>14</v>
      </c>
      <c r="N46" s="27">
        <v>14</v>
      </c>
      <c r="O46" s="119">
        <f t="shared" si="9"/>
        <v>389830</v>
      </c>
      <c r="P46" s="119">
        <f t="shared" si="10"/>
        <v>117728.66</v>
      </c>
      <c r="Q46" s="119">
        <f t="shared" si="1"/>
        <v>507558.66000000003</v>
      </c>
      <c r="R46" s="24">
        <f t="shared" si="2"/>
        <v>2.0648967551622419E-2</v>
      </c>
      <c r="S46" s="120">
        <f t="shared" si="34"/>
        <v>10</v>
      </c>
      <c r="T46" s="121">
        <f t="shared" si="11"/>
        <v>278450</v>
      </c>
      <c r="U46" s="121">
        <f t="shared" si="12"/>
        <v>84091.9</v>
      </c>
      <c r="V46" s="121">
        <f t="shared" si="13"/>
        <v>362541.9</v>
      </c>
      <c r="W46" s="122">
        <f t="shared" si="14"/>
        <v>362600</v>
      </c>
      <c r="X46" s="38">
        <f>W46+'проезд Лизе к бюджету 2018'!L47</f>
        <v>435300</v>
      </c>
      <c r="Y46" s="37" t="e">
        <f>#REF!+#REF!</f>
        <v>#REF!</v>
      </c>
      <c r="Z46" s="37" t="e">
        <f t="shared" si="28"/>
        <v>#REF!</v>
      </c>
      <c r="AA46" s="193">
        <v>362095</v>
      </c>
      <c r="AB46" s="193">
        <v>109505</v>
      </c>
      <c r="AC46" s="191">
        <f t="shared" si="16"/>
        <v>471600</v>
      </c>
      <c r="AD46" s="188">
        <f t="shared" si="17"/>
        <v>389830</v>
      </c>
      <c r="AE46" s="139">
        <v>2900</v>
      </c>
      <c r="AF46" s="182">
        <v>3</v>
      </c>
      <c r="AG46" s="146">
        <v>12906.2</v>
      </c>
      <c r="AH46" s="141">
        <f t="shared" si="19"/>
        <v>441887</v>
      </c>
      <c r="AI46" s="143">
        <f t="shared" si="20"/>
        <v>79792</v>
      </c>
      <c r="AJ46" s="125">
        <f>AF46-'проезд Лизе к бюджету 2018'!B47</f>
        <v>0</v>
      </c>
      <c r="AK46" s="141">
        <f t="shared" si="21"/>
        <v>79792</v>
      </c>
      <c r="AL46" s="141">
        <f t="shared" si="22"/>
        <v>-109505</v>
      </c>
      <c r="AM46" s="141">
        <f t="shared" si="23"/>
        <v>-29713</v>
      </c>
      <c r="AN46" s="155">
        <f t="shared" si="29"/>
        <v>79800</v>
      </c>
      <c r="AO46" s="155">
        <f t="shared" si="30"/>
        <v>-109500</v>
      </c>
      <c r="AP46" s="154">
        <f t="shared" si="31"/>
        <v>-29700</v>
      </c>
      <c r="AQ46" s="154">
        <f t="shared" si="25"/>
        <v>-29700</v>
      </c>
    </row>
    <row r="47" spans="1:43" ht="14.4" x14ac:dyDescent="0.3">
      <c r="A47" s="21" t="s">
        <v>32</v>
      </c>
      <c r="B47" s="132">
        <v>570</v>
      </c>
      <c r="C47" s="95">
        <v>2</v>
      </c>
      <c r="D47" s="116">
        <v>56</v>
      </c>
      <c r="E47" s="117">
        <v>53</v>
      </c>
      <c r="F47" s="103">
        <f t="shared" si="6"/>
        <v>-3</v>
      </c>
      <c r="G47" s="113">
        <v>16</v>
      </c>
      <c r="H47" s="110">
        <v>10</v>
      </c>
      <c r="I47" s="105">
        <f t="shared" si="7"/>
        <v>-6</v>
      </c>
      <c r="J47" s="22">
        <f t="shared" si="33"/>
        <v>12</v>
      </c>
      <c r="K47" s="99">
        <f t="shared" si="33"/>
        <v>11</v>
      </c>
      <c r="L47" s="169">
        <f t="shared" si="8"/>
        <v>1</v>
      </c>
      <c r="M47" s="126">
        <f t="shared" si="26"/>
        <v>10</v>
      </c>
      <c r="N47" s="27">
        <v>12</v>
      </c>
      <c r="O47" s="119">
        <f t="shared" si="9"/>
        <v>334140</v>
      </c>
      <c r="P47" s="119">
        <f t="shared" si="10"/>
        <v>100910.28</v>
      </c>
      <c r="Q47" s="119">
        <f t="shared" si="1"/>
        <v>435050.28</v>
      </c>
      <c r="R47" s="24">
        <f t="shared" si="2"/>
        <v>1.7699115044247787E-2</v>
      </c>
      <c r="S47" s="120">
        <f t="shared" si="34"/>
        <v>9</v>
      </c>
      <c r="T47" s="121">
        <f t="shared" si="11"/>
        <v>250605</v>
      </c>
      <c r="U47" s="121">
        <f t="shared" si="12"/>
        <v>75682.710000000006</v>
      </c>
      <c r="V47" s="121">
        <f t="shared" si="13"/>
        <v>326287.71000000002</v>
      </c>
      <c r="W47" s="122">
        <f t="shared" si="14"/>
        <v>326300</v>
      </c>
      <c r="X47" s="38">
        <f>W47+'проезд Лизе к бюджету 2018'!L48</f>
        <v>399000</v>
      </c>
      <c r="Y47" s="37" t="e">
        <f>#REF!+#REF!</f>
        <v>#REF!</v>
      </c>
      <c r="Z47" s="37" t="e">
        <f t="shared" si="28"/>
        <v>#REF!</v>
      </c>
      <c r="AA47" s="193">
        <v>306405</v>
      </c>
      <c r="AB47" s="193">
        <v>92695</v>
      </c>
      <c r="AC47" s="191">
        <f t="shared" si="16"/>
        <v>399100</v>
      </c>
      <c r="AD47" s="188">
        <f t="shared" si="17"/>
        <v>278450</v>
      </c>
      <c r="AE47" s="139">
        <v>4350</v>
      </c>
      <c r="AF47" s="182">
        <v>2</v>
      </c>
      <c r="AG47" s="146">
        <v>17400</v>
      </c>
      <c r="AH47" s="141">
        <f t="shared" si="19"/>
        <v>321950</v>
      </c>
      <c r="AI47" s="143">
        <f t="shared" si="20"/>
        <v>15545</v>
      </c>
      <c r="AJ47" s="125">
        <f>AF47-'проезд Лизе к бюджету 2018'!B48</f>
        <v>-2</v>
      </c>
      <c r="AK47" s="141">
        <f t="shared" si="21"/>
        <v>15545</v>
      </c>
      <c r="AL47" s="141">
        <f t="shared" si="22"/>
        <v>-92695</v>
      </c>
      <c r="AM47" s="141">
        <f t="shared" si="23"/>
        <v>-77150</v>
      </c>
      <c r="AN47" s="155">
        <f t="shared" si="29"/>
        <v>15600</v>
      </c>
      <c r="AO47" s="155">
        <f t="shared" si="30"/>
        <v>-92600</v>
      </c>
      <c r="AP47" s="154">
        <f t="shared" si="31"/>
        <v>-77000</v>
      </c>
      <c r="AQ47" s="154">
        <f t="shared" si="25"/>
        <v>-77000</v>
      </c>
    </row>
    <row r="48" spans="1:43" ht="14.4" x14ac:dyDescent="0.3">
      <c r="A48" s="21" t="s">
        <v>33</v>
      </c>
      <c r="B48" s="132">
        <v>571</v>
      </c>
      <c r="C48" s="95">
        <v>0</v>
      </c>
      <c r="D48" s="116">
        <v>66</v>
      </c>
      <c r="E48" s="117">
        <v>66</v>
      </c>
      <c r="F48" s="103">
        <f t="shared" si="6"/>
        <v>0</v>
      </c>
      <c r="G48" s="113">
        <v>16</v>
      </c>
      <c r="H48" s="110">
        <v>16</v>
      </c>
      <c r="I48" s="105">
        <f t="shared" si="7"/>
        <v>0</v>
      </c>
      <c r="J48" s="22">
        <f t="shared" si="33"/>
        <v>14</v>
      </c>
      <c r="K48" s="170">
        <f t="shared" si="33"/>
        <v>14</v>
      </c>
      <c r="L48" s="169">
        <f t="shared" si="8"/>
        <v>-2</v>
      </c>
      <c r="M48" s="126">
        <f t="shared" si="26"/>
        <v>14</v>
      </c>
      <c r="N48" s="27">
        <v>14</v>
      </c>
      <c r="O48" s="119">
        <f t="shared" si="9"/>
        <v>389830</v>
      </c>
      <c r="P48" s="119">
        <f t="shared" si="10"/>
        <v>117728.66</v>
      </c>
      <c r="Q48" s="119">
        <f t="shared" si="1"/>
        <v>507558.66000000003</v>
      </c>
      <c r="R48" s="24">
        <f t="shared" si="2"/>
        <v>2.0648967551622419E-2</v>
      </c>
      <c r="S48" s="120">
        <f t="shared" si="34"/>
        <v>10</v>
      </c>
      <c r="T48" s="121">
        <f t="shared" si="11"/>
        <v>278450</v>
      </c>
      <c r="U48" s="121">
        <f t="shared" si="12"/>
        <v>84091.9</v>
      </c>
      <c r="V48" s="121">
        <f t="shared" si="13"/>
        <v>362541.9</v>
      </c>
      <c r="W48" s="122">
        <f t="shared" si="14"/>
        <v>362600</v>
      </c>
      <c r="X48" s="38">
        <f>W48+'проезд Лизе к бюджету 2018'!L49</f>
        <v>362600</v>
      </c>
      <c r="Y48" s="37" t="e">
        <f>#REF!+#REF!</f>
        <v>#REF!</v>
      </c>
      <c r="Z48" s="37" t="e">
        <f t="shared" si="28"/>
        <v>#REF!</v>
      </c>
      <c r="AA48" s="193">
        <v>306295</v>
      </c>
      <c r="AB48" s="193">
        <v>92605</v>
      </c>
      <c r="AC48" s="191">
        <f t="shared" si="16"/>
        <v>398900</v>
      </c>
      <c r="AD48" s="188">
        <f t="shared" si="17"/>
        <v>389830</v>
      </c>
      <c r="AE48" s="139"/>
      <c r="AF48" s="182">
        <f t="shared" si="18"/>
        <v>0</v>
      </c>
      <c r="AG48" s="146"/>
      <c r="AH48" s="141">
        <f t="shared" si="19"/>
        <v>389830</v>
      </c>
      <c r="AI48" s="143">
        <f t="shared" si="20"/>
        <v>83535</v>
      </c>
      <c r="AJ48" s="125">
        <f>AF48-'проезд Лизе к бюджету 2018'!B49</f>
        <v>0</v>
      </c>
      <c r="AK48" s="141">
        <f t="shared" si="21"/>
        <v>83535</v>
      </c>
      <c r="AL48" s="141">
        <f t="shared" si="22"/>
        <v>-92605</v>
      </c>
      <c r="AM48" s="141">
        <f t="shared" si="23"/>
        <v>-9070</v>
      </c>
      <c r="AN48" s="155">
        <f t="shared" si="29"/>
        <v>83600</v>
      </c>
      <c r="AO48" s="155">
        <f t="shared" si="30"/>
        <v>-92600</v>
      </c>
      <c r="AP48" s="154">
        <f t="shared" si="31"/>
        <v>-9000</v>
      </c>
      <c r="AQ48" s="157"/>
    </row>
    <row r="49" spans="1:43" ht="14.4" x14ac:dyDescent="0.3">
      <c r="A49" s="21" t="s">
        <v>34</v>
      </c>
      <c r="B49" s="132">
        <v>572</v>
      </c>
      <c r="C49" s="95">
        <v>4</v>
      </c>
      <c r="D49" s="116">
        <v>56</v>
      </c>
      <c r="E49" s="117">
        <v>53</v>
      </c>
      <c r="F49" s="103">
        <f t="shared" si="6"/>
        <v>-3</v>
      </c>
      <c r="G49" s="113">
        <v>9</v>
      </c>
      <c r="H49" s="110">
        <v>9</v>
      </c>
      <c r="I49" s="105">
        <f t="shared" si="7"/>
        <v>0</v>
      </c>
      <c r="J49" s="22">
        <f t="shared" si="33"/>
        <v>12</v>
      </c>
      <c r="K49" s="99">
        <f t="shared" si="33"/>
        <v>11</v>
      </c>
      <c r="L49" s="169">
        <f t="shared" si="8"/>
        <v>2</v>
      </c>
      <c r="M49" s="126">
        <f t="shared" si="26"/>
        <v>9</v>
      </c>
      <c r="N49" s="27">
        <v>9</v>
      </c>
      <c r="O49" s="119">
        <f t="shared" si="9"/>
        <v>250605</v>
      </c>
      <c r="P49" s="119">
        <f t="shared" si="10"/>
        <v>75682.709999999992</v>
      </c>
      <c r="Q49" s="119">
        <f t="shared" si="1"/>
        <v>326287.70999999996</v>
      </c>
      <c r="R49" s="24">
        <f t="shared" si="2"/>
        <v>1.3274336283185841E-2</v>
      </c>
      <c r="S49" s="120">
        <f t="shared" si="34"/>
        <v>7</v>
      </c>
      <c r="T49" s="121">
        <f t="shared" si="11"/>
        <v>194915</v>
      </c>
      <c r="U49" s="121">
        <f t="shared" si="12"/>
        <v>58864.33</v>
      </c>
      <c r="V49" s="121">
        <f t="shared" si="13"/>
        <v>253779.33000000002</v>
      </c>
      <c r="W49" s="122">
        <f t="shared" si="14"/>
        <v>253799.99999999997</v>
      </c>
      <c r="X49" s="38">
        <f>W49+'проезд Лизе к бюджету 2018'!L50</f>
        <v>326499.99999999994</v>
      </c>
      <c r="Y49" s="37" t="e">
        <f>#REF!+#REF!</f>
        <v>#REF!</v>
      </c>
      <c r="Z49" s="37" t="e">
        <f t="shared" si="28"/>
        <v>#REF!</v>
      </c>
      <c r="AA49" s="193">
        <v>250715</v>
      </c>
      <c r="AB49" s="193">
        <v>75885</v>
      </c>
      <c r="AC49" s="191">
        <f t="shared" si="16"/>
        <v>326600</v>
      </c>
      <c r="AD49" s="188">
        <f t="shared" si="17"/>
        <v>250605</v>
      </c>
      <c r="AE49" s="139">
        <v>4350</v>
      </c>
      <c r="AF49" s="182">
        <f t="shared" si="18"/>
        <v>3</v>
      </c>
      <c r="AG49" s="146">
        <v>17293.3</v>
      </c>
      <c r="AH49" s="141">
        <f t="shared" si="19"/>
        <v>307049</v>
      </c>
      <c r="AI49" s="143">
        <f t="shared" si="20"/>
        <v>56334</v>
      </c>
      <c r="AJ49" s="125">
        <f>AF49-'проезд Лизе к бюджету 2018'!B50</f>
        <v>1</v>
      </c>
      <c r="AK49" s="141">
        <f t="shared" si="21"/>
        <v>56334</v>
      </c>
      <c r="AL49" s="141">
        <f t="shared" si="22"/>
        <v>-75885</v>
      </c>
      <c r="AM49" s="141">
        <f t="shared" si="23"/>
        <v>-19551</v>
      </c>
      <c r="AN49" s="155">
        <f t="shared" si="29"/>
        <v>56400</v>
      </c>
      <c r="AO49" s="155">
        <f t="shared" si="30"/>
        <v>-75800</v>
      </c>
      <c r="AP49" s="154">
        <f t="shared" si="31"/>
        <v>-19400</v>
      </c>
      <c r="AQ49" s="157"/>
    </row>
    <row r="50" spans="1:43" ht="14.4" x14ac:dyDescent="0.3">
      <c r="A50" s="21" t="s">
        <v>40</v>
      </c>
      <c r="B50" s="132">
        <v>574</v>
      </c>
      <c r="C50" s="95">
        <v>1</v>
      </c>
      <c r="D50" s="116">
        <v>65</v>
      </c>
      <c r="E50" s="117">
        <v>65</v>
      </c>
      <c r="F50" s="103">
        <f t="shared" si="6"/>
        <v>0</v>
      </c>
      <c r="G50" s="113">
        <v>15</v>
      </c>
      <c r="H50" s="110">
        <v>13</v>
      </c>
      <c r="I50" s="105">
        <f t="shared" si="7"/>
        <v>-2</v>
      </c>
      <c r="J50" s="22">
        <f t="shared" si="33"/>
        <v>13</v>
      </c>
      <c r="K50" s="99">
        <f t="shared" si="33"/>
        <v>13</v>
      </c>
      <c r="L50" s="169">
        <f t="shared" si="8"/>
        <v>0</v>
      </c>
      <c r="M50" s="126">
        <f t="shared" si="26"/>
        <v>13</v>
      </c>
      <c r="N50" s="27">
        <v>13</v>
      </c>
      <c r="O50" s="119">
        <f t="shared" si="9"/>
        <v>361985</v>
      </c>
      <c r="P50" s="119">
        <f t="shared" si="10"/>
        <v>109319.47</v>
      </c>
      <c r="Q50" s="119">
        <f t="shared" si="1"/>
        <v>471304.47</v>
      </c>
      <c r="R50" s="24">
        <f t="shared" si="2"/>
        <v>1.9174041297935103E-2</v>
      </c>
      <c r="S50" s="120">
        <f t="shared" si="34"/>
        <v>10</v>
      </c>
      <c r="T50" s="121">
        <f t="shared" si="11"/>
        <v>278450</v>
      </c>
      <c r="U50" s="121">
        <f t="shared" si="12"/>
        <v>84091.9</v>
      </c>
      <c r="V50" s="121">
        <f t="shared" si="13"/>
        <v>362541.9</v>
      </c>
      <c r="W50" s="122">
        <f t="shared" si="14"/>
        <v>362600</v>
      </c>
      <c r="X50" s="38">
        <f>W50+'проезд Лизе к бюджету 2018'!L51</f>
        <v>411100</v>
      </c>
      <c r="Y50" s="37" t="e">
        <f>#REF!+#REF!</f>
        <v>#REF!</v>
      </c>
      <c r="Z50" s="37" t="e">
        <f t="shared" si="28"/>
        <v>#REF!</v>
      </c>
      <c r="AA50" s="193">
        <v>287805</v>
      </c>
      <c r="AB50" s="193">
        <v>87095</v>
      </c>
      <c r="AC50" s="191">
        <f t="shared" si="16"/>
        <v>374900</v>
      </c>
      <c r="AD50" s="188">
        <f t="shared" si="17"/>
        <v>361985</v>
      </c>
      <c r="AE50" s="139">
        <v>2900</v>
      </c>
      <c r="AF50" s="182">
        <f t="shared" si="18"/>
        <v>2</v>
      </c>
      <c r="AG50" s="146">
        <v>11463.7</v>
      </c>
      <c r="AH50" s="141">
        <f t="shared" si="19"/>
        <v>399549</v>
      </c>
      <c r="AI50" s="143">
        <f t="shared" si="20"/>
        <v>111744</v>
      </c>
      <c r="AJ50" s="125">
        <f>AF50-'проезд Лизе к бюджету 2018'!B51</f>
        <v>-1</v>
      </c>
      <c r="AK50" s="141">
        <f t="shared" si="21"/>
        <v>111744</v>
      </c>
      <c r="AL50" s="141">
        <f t="shared" si="22"/>
        <v>-87095</v>
      </c>
      <c r="AM50" s="141">
        <f t="shared" si="23"/>
        <v>24649</v>
      </c>
      <c r="AN50" s="155">
        <f t="shared" si="29"/>
        <v>111800</v>
      </c>
      <c r="AO50" s="155">
        <f t="shared" si="30"/>
        <v>-87000</v>
      </c>
      <c r="AP50" s="154">
        <f t="shared" si="31"/>
        <v>24800</v>
      </c>
      <c r="AQ50" s="154">
        <f t="shared" si="25"/>
        <v>24800</v>
      </c>
    </row>
    <row r="51" spans="1:43" ht="14.4" x14ac:dyDescent="0.3">
      <c r="A51" s="21" t="s">
        <v>37</v>
      </c>
      <c r="B51" s="132">
        <v>591</v>
      </c>
      <c r="C51" s="95">
        <v>2</v>
      </c>
      <c r="D51" s="116">
        <v>42</v>
      </c>
      <c r="E51" s="117">
        <v>42</v>
      </c>
      <c r="F51" s="103">
        <f t="shared" si="6"/>
        <v>0</v>
      </c>
      <c r="G51" s="113">
        <v>8</v>
      </c>
      <c r="H51" s="110">
        <v>8</v>
      </c>
      <c r="I51" s="105">
        <f t="shared" si="7"/>
        <v>0</v>
      </c>
      <c r="J51" s="22">
        <f t="shared" si="33"/>
        <v>9</v>
      </c>
      <c r="K51" s="99">
        <f t="shared" si="33"/>
        <v>9</v>
      </c>
      <c r="L51" s="169">
        <f t="shared" si="8"/>
        <v>1</v>
      </c>
      <c r="M51" s="126">
        <f t="shared" si="26"/>
        <v>8</v>
      </c>
      <c r="N51" s="27">
        <v>8</v>
      </c>
      <c r="O51" s="119">
        <f t="shared" si="9"/>
        <v>222760</v>
      </c>
      <c r="P51" s="119">
        <f t="shared" si="10"/>
        <v>67273.52</v>
      </c>
      <c r="Q51" s="119">
        <f t="shared" si="1"/>
        <v>290033.52</v>
      </c>
      <c r="R51" s="24">
        <f t="shared" si="2"/>
        <v>1.1799410029498525E-2</v>
      </c>
      <c r="S51" s="120">
        <f t="shared" si="34"/>
        <v>6</v>
      </c>
      <c r="T51" s="121">
        <f t="shared" si="11"/>
        <v>167070</v>
      </c>
      <c r="U51" s="121">
        <f t="shared" si="12"/>
        <v>50455.14</v>
      </c>
      <c r="V51" s="121">
        <f t="shared" si="13"/>
        <v>217525.14</v>
      </c>
      <c r="W51" s="122">
        <f t="shared" si="14"/>
        <v>217600</v>
      </c>
      <c r="X51" s="38">
        <f>W51+'проезд Лизе к бюджету 2018'!L52</f>
        <v>241900</v>
      </c>
      <c r="Y51" s="37" t="e">
        <f>#REF!+#REF!</f>
        <v>#REF!</v>
      </c>
      <c r="Z51" s="37" t="e">
        <f t="shared" si="28"/>
        <v>#REF!</v>
      </c>
      <c r="AA51" s="193">
        <v>185670</v>
      </c>
      <c r="AB51" s="193">
        <v>56230</v>
      </c>
      <c r="AC51" s="191">
        <f t="shared" si="16"/>
        <v>241900</v>
      </c>
      <c r="AD51" s="188">
        <f t="shared" si="17"/>
        <v>222760</v>
      </c>
      <c r="AE51" s="139"/>
      <c r="AF51" s="181">
        <f t="shared" si="18"/>
        <v>0</v>
      </c>
      <c r="AG51" s="146"/>
      <c r="AH51" s="141">
        <f t="shared" si="19"/>
        <v>222760</v>
      </c>
      <c r="AI51" s="143">
        <f t="shared" si="20"/>
        <v>37090</v>
      </c>
      <c r="AJ51" s="125">
        <f>AF51-'проезд Лизе к бюджету 2018'!B52</f>
        <v>-1</v>
      </c>
      <c r="AK51" s="141">
        <f t="shared" si="21"/>
        <v>37090</v>
      </c>
      <c r="AL51" s="141">
        <f t="shared" si="22"/>
        <v>-56230</v>
      </c>
      <c r="AM51" s="141">
        <f t="shared" si="23"/>
        <v>-19140</v>
      </c>
      <c r="AN51" s="155">
        <f t="shared" si="29"/>
        <v>37100</v>
      </c>
      <c r="AO51" s="155">
        <f t="shared" si="30"/>
        <v>-56200</v>
      </c>
      <c r="AP51" s="154">
        <f t="shared" si="31"/>
        <v>-19100</v>
      </c>
      <c r="AQ51" s="157"/>
    </row>
    <row r="52" spans="1:43" ht="15.6" customHeight="1" x14ac:dyDescent="0.3">
      <c r="A52" s="21" t="s">
        <v>35</v>
      </c>
      <c r="B52" s="132">
        <v>592</v>
      </c>
      <c r="C52" s="95">
        <v>0</v>
      </c>
      <c r="D52" s="116">
        <v>48</v>
      </c>
      <c r="E52" s="117">
        <v>48</v>
      </c>
      <c r="F52" s="103">
        <f t="shared" si="6"/>
        <v>0</v>
      </c>
      <c r="G52" s="113">
        <v>9</v>
      </c>
      <c r="H52" s="110">
        <v>9</v>
      </c>
      <c r="I52" s="105">
        <f t="shared" si="7"/>
        <v>0</v>
      </c>
      <c r="J52" s="22">
        <f t="shared" si="33"/>
        <v>10</v>
      </c>
      <c r="K52" s="99">
        <f t="shared" si="33"/>
        <v>10</v>
      </c>
      <c r="L52" s="169">
        <f t="shared" si="8"/>
        <v>1</v>
      </c>
      <c r="M52" s="126">
        <f>IF(H52&gt;K52,K52,H52)</f>
        <v>9</v>
      </c>
      <c r="N52" s="27">
        <v>9</v>
      </c>
      <c r="O52" s="119">
        <f t="shared" si="9"/>
        <v>250605</v>
      </c>
      <c r="P52" s="119">
        <f t="shared" si="10"/>
        <v>75682.709999999992</v>
      </c>
      <c r="Q52" s="119">
        <f t="shared" si="1"/>
        <v>326287.70999999996</v>
      </c>
      <c r="R52" s="24">
        <f t="shared" si="2"/>
        <v>1.3274336283185841E-2</v>
      </c>
      <c r="S52" s="120">
        <f t="shared" si="34"/>
        <v>7</v>
      </c>
      <c r="T52" s="121">
        <f t="shared" si="11"/>
        <v>194915</v>
      </c>
      <c r="U52" s="121">
        <f t="shared" si="12"/>
        <v>58864.33</v>
      </c>
      <c r="V52" s="121">
        <f t="shared" si="13"/>
        <v>253779.33000000002</v>
      </c>
      <c r="W52" s="122">
        <f t="shared" si="14"/>
        <v>253799.99999999997</v>
      </c>
      <c r="X52" s="38">
        <f>W52+'проезд Лизе к бюджету 2018'!L53</f>
        <v>278100</v>
      </c>
      <c r="Y52" s="37" t="e">
        <f>#REF!+#REF!</f>
        <v>#REF!</v>
      </c>
      <c r="Z52" s="37" t="e">
        <f t="shared" si="28"/>
        <v>#REF!</v>
      </c>
      <c r="AA52" s="193">
        <v>129980</v>
      </c>
      <c r="AB52" s="193">
        <v>39420</v>
      </c>
      <c r="AC52" s="191">
        <f t="shared" si="16"/>
        <v>169400</v>
      </c>
      <c r="AD52" s="188">
        <f t="shared" si="17"/>
        <v>250605</v>
      </c>
      <c r="AE52" s="139">
        <v>1450</v>
      </c>
      <c r="AF52" s="182">
        <f t="shared" si="18"/>
        <v>1</v>
      </c>
      <c r="AG52" s="146">
        <v>5737.9</v>
      </c>
      <c r="AH52" s="141">
        <f t="shared" si="19"/>
        <v>269393</v>
      </c>
      <c r="AI52" s="143">
        <f t="shared" si="20"/>
        <v>139413</v>
      </c>
      <c r="AJ52" s="125">
        <f>AF52-'проезд Лизе к бюджету 2018'!B53</f>
        <v>0</v>
      </c>
      <c r="AK52" s="141">
        <f t="shared" si="21"/>
        <v>139413</v>
      </c>
      <c r="AL52" s="141">
        <f t="shared" si="22"/>
        <v>-39420</v>
      </c>
      <c r="AM52" s="141">
        <f t="shared" si="23"/>
        <v>99993</v>
      </c>
      <c r="AN52" s="155">
        <f t="shared" si="29"/>
        <v>139500</v>
      </c>
      <c r="AO52" s="155">
        <f t="shared" si="30"/>
        <v>-39400</v>
      </c>
      <c r="AP52" s="154">
        <f t="shared" si="31"/>
        <v>100100</v>
      </c>
      <c r="AQ52" s="154">
        <f t="shared" si="25"/>
        <v>100100</v>
      </c>
    </row>
    <row r="53" spans="1:43" ht="14.4" x14ac:dyDescent="0.3">
      <c r="A53" s="21" t="s">
        <v>36</v>
      </c>
      <c r="B53" s="132">
        <v>593</v>
      </c>
      <c r="C53" s="95"/>
      <c r="D53" s="116"/>
      <c r="E53" s="117">
        <v>49</v>
      </c>
      <c r="F53" s="103">
        <f t="shared" si="6"/>
        <v>49</v>
      </c>
      <c r="G53" s="113"/>
      <c r="H53" s="110">
        <v>10</v>
      </c>
      <c r="I53" s="105">
        <f t="shared" si="7"/>
        <v>10</v>
      </c>
      <c r="J53" s="22">
        <f t="shared" si="33"/>
        <v>0</v>
      </c>
      <c r="K53" s="99">
        <f t="shared" si="33"/>
        <v>10</v>
      </c>
      <c r="L53" s="169">
        <f t="shared" si="8"/>
        <v>0</v>
      </c>
      <c r="M53" s="126">
        <f t="shared" si="26"/>
        <v>10</v>
      </c>
      <c r="N53" s="27"/>
      <c r="O53" s="119">
        <f t="shared" si="9"/>
        <v>0</v>
      </c>
      <c r="P53" s="119">
        <f t="shared" si="10"/>
        <v>0</v>
      </c>
      <c r="Q53" s="119">
        <f t="shared" si="1"/>
        <v>0</v>
      </c>
      <c r="R53" s="24">
        <f t="shared" si="2"/>
        <v>0</v>
      </c>
      <c r="S53" s="120">
        <f t="shared" si="34"/>
        <v>0</v>
      </c>
      <c r="T53" s="121">
        <f t="shared" si="11"/>
        <v>0</v>
      </c>
      <c r="U53" s="121">
        <f t="shared" si="12"/>
        <v>0</v>
      </c>
      <c r="V53" s="121">
        <f t="shared" si="13"/>
        <v>0</v>
      </c>
      <c r="W53" s="122">
        <f t="shared" si="14"/>
        <v>0</v>
      </c>
      <c r="X53" s="38">
        <f>W53+'проезд Лизе к бюджету 2018'!L54</f>
        <v>48500</v>
      </c>
      <c r="Y53" s="37" t="e">
        <f>#REF!+#REF!</f>
        <v>#REF!</v>
      </c>
      <c r="Z53" s="37" t="e">
        <f t="shared" si="28"/>
        <v>#REF!</v>
      </c>
      <c r="AA53" s="193">
        <v>259960</v>
      </c>
      <c r="AB53" s="193">
        <v>78640</v>
      </c>
      <c r="AC53" s="191">
        <f t="shared" si="16"/>
        <v>338600</v>
      </c>
      <c r="AD53" s="188">
        <f t="shared" si="17"/>
        <v>278450</v>
      </c>
      <c r="AE53" s="139">
        <v>376</v>
      </c>
      <c r="AF53" s="181">
        <f t="shared" si="18"/>
        <v>0</v>
      </c>
      <c r="AG53" s="146">
        <v>10078.18</v>
      </c>
      <c r="AH53" s="141">
        <f t="shared" si="19"/>
        <v>288529</v>
      </c>
      <c r="AI53" s="143">
        <f t="shared" si="20"/>
        <v>28569</v>
      </c>
      <c r="AJ53" s="125">
        <f>AF53-'проезд Лизе к бюджету 2018'!B54</f>
        <v>-3</v>
      </c>
      <c r="AK53" s="141">
        <f t="shared" si="21"/>
        <v>28569</v>
      </c>
      <c r="AL53" s="141">
        <f t="shared" si="22"/>
        <v>-78640</v>
      </c>
      <c r="AM53" s="141">
        <f t="shared" si="23"/>
        <v>-50071</v>
      </c>
      <c r="AN53" s="155">
        <f t="shared" si="29"/>
        <v>28600</v>
      </c>
      <c r="AO53" s="155">
        <f t="shared" si="30"/>
        <v>-78600</v>
      </c>
      <c r="AP53" s="154">
        <f t="shared" si="31"/>
        <v>-50000</v>
      </c>
      <c r="AQ53" s="154">
        <f t="shared" si="25"/>
        <v>-50000</v>
      </c>
    </row>
    <row r="54" spans="1:43" ht="14.4" x14ac:dyDescent="0.3">
      <c r="A54" s="21" t="s">
        <v>42</v>
      </c>
      <c r="B54" s="132">
        <v>625</v>
      </c>
      <c r="C54" s="95">
        <v>2</v>
      </c>
      <c r="D54" s="116">
        <v>82</v>
      </c>
      <c r="E54" s="117">
        <v>82</v>
      </c>
      <c r="F54" s="103">
        <f t="shared" si="6"/>
        <v>0</v>
      </c>
      <c r="G54" s="113">
        <v>18</v>
      </c>
      <c r="H54" s="110">
        <v>9</v>
      </c>
      <c r="I54" s="105">
        <f t="shared" si="7"/>
        <v>-9</v>
      </c>
      <c r="J54" s="22">
        <f t="shared" si="33"/>
        <v>17</v>
      </c>
      <c r="K54" s="99">
        <f t="shared" si="33"/>
        <v>17</v>
      </c>
      <c r="L54" s="169">
        <f t="shared" si="8"/>
        <v>8</v>
      </c>
      <c r="M54" s="126">
        <f t="shared" si="26"/>
        <v>9</v>
      </c>
      <c r="N54" s="27">
        <v>17</v>
      </c>
      <c r="O54" s="119">
        <f t="shared" si="9"/>
        <v>473365</v>
      </c>
      <c r="P54" s="119">
        <f t="shared" si="10"/>
        <v>142956.22999999998</v>
      </c>
      <c r="Q54" s="119">
        <f t="shared" si="1"/>
        <v>616321.23</v>
      </c>
      <c r="R54" s="24">
        <f t="shared" si="2"/>
        <v>2.5073746312684365E-2</v>
      </c>
      <c r="S54" s="120">
        <f t="shared" si="34"/>
        <v>13</v>
      </c>
      <c r="T54" s="121">
        <f t="shared" si="11"/>
        <v>361985</v>
      </c>
      <c r="U54" s="121">
        <f t="shared" si="12"/>
        <v>109319.47</v>
      </c>
      <c r="V54" s="121">
        <f t="shared" si="13"/>
        <v>471304.47</v>
      </c>
      <c r="W54" s="122">
        <f t="shared" si="14"/>
        <v>471400.00000000006</v>
      </c>
      <c r="X54" s="38">
        <f>W54+'проезд Лизе к бюджету 2018'!L55</f>
        <v>519900.00000000006</v>
      </c>
      <c r="Y54" s="37" t="e">
        <f>#REF!+#REF!</f>
        <v>#REF!</v>
      </c>
      <c r="Z54" s="37" t="e">
        <f t="shared" si="28"/>
        <v>#REF!</v>
      </c>
      <c r="AA54" s="193">
        <v>232115</v>
      </c>
      <c r="AB54" s="193">
        <v>70285</v>
      </c>
      <c r="AC54" s="191">
        <f t="shared" si="16"/>
        <v>302400</v>
      </c>
      <c r="AD54" s="188">
        <f t="shared" si="17"/>
        <v>250605</v>
      </c>
      <c r="AE54" s="139">
        <v>2900</v>
      </c>
      <c r="AF54" s="182">
        <f t="shared" si="18"/>
        <v>2</v>
      </c>
      <c r="AG54" s="146">
        <v>11542.51</v>
      </c>
      <c r="AH54" s="141">
        <f t="shared" si="19"/>
        <v>288248</v>
      </c>
      <c r="AI54" s="143">
        <f t="shared" si="20"/>
        <v>56133</v>
      </c>
      <c r="AJ54" s="125">
        <f>AF54-'проезд Лизе к бюджету 2018'!B55</f>
        <v>2</v>
      </c>
      <c r="AK54" s="141">
        <f t="shared" si="21"/>
        <v>56133</v>
      </c>
      <c r="AL54" s="141">
        <f t="shared" si="22"/>
        <v>-70285</v>
      </c>
      <c r="AM54" s="141">
        <f t="shared" si="23"/>
        <v>-14152</v>
      </c>
      <c r="AN54" s="155">
        <f t="shared" si="29"/>
        <v>56200</v>
      </c>
      <c r="AO54" s="155">
        <f t="shared" si="30"/>
        <v>-70200</v>
      </c>
      <c r="AP54" s="154">
        <f t="shared" si="31"/>
        <v>-14000</v>
      </c>
      <c r="AQ54" s="157"/>
    </row>
    <row r="55" spans="1:43" ht="14.4" x14ac:dyDescent="0.3">
      <c r="A55" s="21" t="s">
        <v>63</v>
      </c>
      <c r="B55" s="132">
        <v>627</v>
      </c>
      <c r="C55" s="95">
        <v>3</v>
      </c>
      <c r="D55" s="116">
        <v>98</v>
      </c>
      <c r="E55" s="117">
        <v>98</v>
      </c>
      <c r="F55" s="103">
        <f t="shared" si="6"/>
        <v>0</v>
      </c>
      <c r="G55" s="113">
        <v>20</v>
      </c>
      <c r="H55" s="110">
        <v>15</v>
      </c>
      <c r="I55" s="105">
        <f t="shared" si="7"/>
        <v>-5</v>
      </c>
      <c r="J55" s="22">
        <f t="shared" si="33"/>
        <v>20</v>
      </c>
      <c r="K55" s="99">
        <f t="shared" si="33"/>
        <v>20</v>
      </c>
      <c r="L55" s="169">
        <f t="shared" si="8"/>
        <v>5</v>
      </c>
      <c r="M55" s="126">
        <f t="shared" si="26"/>
        <v>15</v>
      </c>
      <c r="N55" s="27">
        <v>20</v>
      </c>
      <c r="O55" s="119">
        <f t="shared" si="9"/>
        <v>556900</v>
      </c>
      <c r="P55" s="119">
        <f t="shared" si="10"/>
        <v>168183.8</v>
      </c>
      <c r="Q55" s="119">
        <f t="shared" si="1"/>
        <v>725083.8</v>
      </c>
      <c r="R55" s="24">
        <f t="shared" si="2"/>
        <v>2.9498525073746312E-2</v>
      </c>
      <c r="S55" s="120">
        <f>ROUND(R55*$O$83,0)-1</f>
        <v>14</v>
      </c>
      <c r="T55" s="121">
        <f t="shared" si="11"/>
        <v>389830</v>
      </c>
      <c r="U55" s="121">
        <f t="shared" si="12"/>
        <v>117728.66</v>
      </c>
      <c r="V55" s="121">
        <f t="shared" si="13"/>
        <v>507558.66000000003</v>
      </c>
      <c r="W55" s="122">
        <f t="shared" si="14"/>
        <v>507600</v>
      </c>
      <c r="X55" s="38">
        <f>W55+'проезд Лизе к бюджету 2018'!L56</f>
        <v>653000</v>
      </c>
      <c r="Y55" s="37" t="e">
        <f>#REF!+#REF!</f>
        <v>#REF!</v>
      </c>
      <c r="Z55" s="37" t="e">
        <f t="shared" si="28"/>
        <v>#REF!</v>
      </c>
      <c r="AA55" s="193">
        <v>527503</v>
      </c>
      <c r="AB55" s="193">
        <v>159597</v>
      </c>
      <c r="AC55" s="191">
        <f t="shared" si="16"/>
        <v>687100</v>
      </c>
      <c r="AD55" s="188">
        <f t="shared" si="17"/>
        <v>417675</v>
      </c>
      <c r="AE55" s="139">
        <v>4350</v>
      </c>
      <c r="AF55" s="182">
        <v>4</v>
      </c>
      <c r="AG55" s="146">
        <v>20194.099999999999</v>
      </c>
      <c r="AH55" s="141">
        <f t="shared" si="19"/>
        <v>490070</v>
      </c>
      <c r="AI55" s="143">
        <f t="shared" si="20"/>
        <v>-37433</v>
      </c>
      <c r="AJ55" s="125">
        <f>AF55-'проезд Лизе к бюджету 2018'!B56</f>
        <v>0</v>
      </c>
      <c r="AK55" s="141">
        <f t="shared" si="21"/>
        <v>-37433</v>
      </c>
      <c r="AL55" s="141">
        <f t="shared" si="22"/>
        <v>-159597</v>
      </c>
      <c r="AM55" s="141">
        <f t="shared" si="23"/>
        <v>-197030</v>
      </c>
      <c r="AN55" s="155">
        <f t="shared" si="29"/>
        <v>-37400</v>
      </c>
      <c r="AO55" s="155">
        <f t="shared" si="30"/>
        <v>-159500</v>
      </c>
      <c r="AP55" s="154">
        <f t="shared" si="31"/>
        <v>-196900</v>
      </c>
      <c r="AQ55" s="154">
        <f t="shared" si="25"/>
        <v>-196900</v>
      </c>
    </row>
    <row r="56" spans="1:43" ht="14.4" x14ac:dyDescent="0.3">
      <c r="A56" s="21" t="s">
        <v>50</v>
      </c>
      <c r="B56" s="132">
        <v>639</v>
      </c>
      <c r="C56" s="95">
        <v>0</v>
      </c>
      <c r="D56" s="116">
        <v>67</v>
      </c>
      <c r="E56" s="175">
        <v>67</v>
      </c>
      <c r="F56" s="103">
        <f t="shared" si="6"/>
        <v>0</v>
      </c>
      <c r="G56" s="113">
        <v>10</v>
      </c>
      <c r="H56" s="110">
        <v>15</v>
      </c>
      <c r="I56" s="105">
        <f t="shared" si="7"/>
        <v>5</v>
      </c>
      <c r="J56" s="22">
        <f t="shared" si="33"/>
        <v>14</v>
      </c>
      <c r="K56" s="170">
        <f t="shared" si="33"/>
        <v>14</v>
      </c>
      <c r="L56" s="169">
        <f t="shared" si="8"/>
        <v>-1</v>
      </c>
      <c r="M56" s="126">
        <f t="shared" si="26"/>
        <v>14</v>
      </c>
      <c r="N56" s="27">
        <v>10</v>
      </c>
      <c r="O56" s="119">
        <f t="shared" si="9"/>
        <v>278450</v>
      </c>
      <c r="P56" s="119">
        <f t="shared" si="10"/>
        <v>84091.9</v>
      </c>
      <c r="Q56" s="119">
        <f t="shared" si="1"/>
        <v>362541.9</v>
      </c>
      <c r="R56" s="24">
        <f t="shared" si="2"/>
        <v>1.4749262536873156E-2</v>
      </c>
      <c r="S56" s="120">
        <f>ROUND(R56*$O$83,0)</f>
        <v>7</v>
      </c>
      <c r="T56" s="121">
        <f t="shared" si="11"/>
        <v>194915</v>
      </c>
      <c r="U56" s="121">
        <f t="shared" si="12"/>
        <v>58864.33</v>
      </c>
      <c r="V56" s="121">
        <f t="shared" si="13"/>
        <v>253779.33000000002</v>
      </c>
      <c r="W56" s="122">
        <f t="shared" si="14"/>
        <v>253799.99999999997</v>
      </c>
      <c r="X56" s="38">
        <f>W56+'проезд Лизе к бюджету 2018'!L57</f>
        <v>253799.99999999997</v>
      </c>
      <c r="Y56" s="37" t="e">
        <f>#REF!+#REF!</f>
        <v>#REF!</v>
      </c>
      <c r="Z56" s="37" t="e">
        <f t="shared" si="28"/>
        <v>#REF!</v>
      </c>
      <c r="AA56" s="193">
        <v>306295</v>
      </c>
      <c r="AB56" s="193">
        <v>92605</v>
      </c>
      <c r="AC56" s="191">
        <f t="shared" si="16"/>
        <v>398900</v>
      </c>
      <c r="AD56" s="188">
        <f t="shared" si="17"/>
        <v>389830</v>
      </c>
      <c r="AE56" s="139"/>
      <c r="AF56" s="181">
        <f t="shared" si="18"/>
        <v>0</v>
      </c>
      <c r="AG56" s="146"/>
      <c r="AH56" s="141">
        <f t="shared" si="19"/>
        <v>389830</v>
      </c>
      <c r="AI56" s="143">
        <f t="shared" si="20"/>
        <v>83535</v>
      </c>
      <c r="AJ56" s="125">
        <f>AF56-'проезд Лизе к бюджету 2018'!B57</f>
        <v>0</v>
      </c>
      <c r="AK56" s="141">
        <f t="shared" si="21"/>
        <v>83535</v>
      </c>
      <c r="AL56" s="141">
        <f t="shared" si="22"/>
        <v>-92605</v>
      </c>
      <c r="AM56" s="141">
        <f t="shared" si="23"/>
        <v>-9070</v>
      </c>
      <c r="AN56" s="155">
        <f t="shared" si="29"/>
        <v>83600</v>
      </c>
      <c r="AO56" s="155">
        <f t="shared" si="30"/>
        <v>-92600</v>
      </c>
      <c r="AP56" s="154">
        <f t="shared" si="31"/>
        <v>-9000</v>
      </c>
      <c r="AQ56" s="157"/>
    </row>
    <row r="57" spans="1:43" ht="14.4" x14ac:dyDescent="0.3">
      <c r="A57" s="21" t="s">
        <v>59</v>
      </c>
      <c r="B57" s="132">
        <v>641</v>
      </c>
      <c r="C57" s="95">
        <v>0</v>
      </c>
      <c r="D57" s="116">
        <v>60</v>
      </c>
      <c r="E57" s="117">
        <v>60</v>
      </c>
      <c r="F57" s="103">
        <f t="shared" si="6"/>
        <v>0</v>
      </c>
      <c r="G57" s="113">
        <v>11</v>
      </c>
      <c r="H57" s="110">
        <v>11</v>
      </c>
      <c r="I57" s="105">
        <f t="shared" si="7"/>
        <v>0</v>
      </c>
      <c r="J57" s="22">
        <f t="shared" si="33"/>
        <v>12</v>
      </c>
      <c r="K57" s="99">
        <f t="shared" si="33"/>
        <v>12</v>
      </c>
      <c r="L57" s="169">
        <f t="shared" si="8"/>
        <v>1</v>
      </c>
      <c r="M57" s="126">
        <f t="shared" si="26"/>
        <v>11</v>
      </c>
      <c r="N57" s="27">
        <v>11</v>
      </c>
      <c r="O57" s="119">
        <f t="shared" si="9"/>
        <v>306295</v>
      </c>
      <c r="P57" s="119">
        <f t="shared" si="10"/>
        <v>92501.09</v>
      </c>
      <c r="Q57" s="119">
        <f t="shared" si="1"/>
        <v>398796.08999999997</v>
      </c>
      <c r="R57" s="24">
        <f t="shared" si="2"/>
        <v>1.6224188790560472E-2</v>
      </c>
      <c r="S57" s="120">
        <f>ROUND(R57*$O$83,0)</f>
        <v>8</v>
      </c>
      <c r="T57" s="121">
        <f t="shared" si="11"/>
        <v>222760</v>
      </c>
      <c r="U57" s="121">
        <f t="shared" si="12"/>
        <v>67273.52</v>
      </c>
      <c r="V57" s="121">
        <f t="shared" si="13"/>
        <v>290033.52</v>
      </c>
      <c r="W57" s="122">
        <f t="shared" si="14"/>
        <v>290100</v>
      </c>
      <c r="X57" s="38">
        <f>W57+'проезд Лизе к бюджету 2018'!L58</f>
        <v>314400</v>
      </c>
      <c r="Y57" s="37" t="e">
        <f>#REF!+#REF!</f>
        <v>#REF!</v>
      </c>
      <c r="Z57" s="37" t="e">
        <f t="shared" si="28"/>
        <v>#REF!</v>
      </c>
      <c r="AA57" s="193">
        <v>241360</v>
      </c>
      <c r="AB57" s="193">
        <v>73040</v>
      </c>
      <c r="AC57" s="191">
        <f t="shared" si="16"/>
        <v>314400</v>
      </c>
      <c r="AD57" s="188">
        <f t="shared" si="17"/>
        <v>306295</v>
      </c>
      <c r="AE57" s="139">
        <v>1450</v>
      </c>
      <c r="AF57" s="182">
        <f t="shared" si="18"/>
        <v>1</v>
      </c>
      <c r="AG57" s="146">
        <v>5707.9</v>
      </c>
      <c r="AH57" s="141">
        <f t="shared" si="19"/>
        <v>325053</v>
      </c>
      <c r="AI57" s="143">
        <f t="shared" si="20"/>
        <v>83693</v>
      </c>
      <c r="AJ57" s="125">
        <f>AF57-'проезд Лизе к бюджету 2018'!B58</f>
        <v>-1</v>
      </c>
      <c r="AK57" s="141">
        <f t="shared" si="21"/>
        <v>83693</v>
      </c>
      <c r="AL57" s="141">
        <f t="shared" si="22"/>
        <v>-73040</v>
      </c>
      <c r="AM57" s="141">
        <f t="shared" si="23"/>
        <v>10653</v>
      </c>
      <c r="AN57" s="155">
        <f t="shared" si="29"/>
        <v>83699.999999999985</v>
      </c>
      <c r="AO57" s="155">
        <f t="shared" si="30"/>
        <v>-73000</v>
      </c>
      <c r="AP57" s="154">
        <f t="shared" si="31"/>
        <v>10699.999999999985</v>
      </c>
      <c r="AQ57" s="154">
        <f t="shared" si="25"/>
        <v>10699.999999999985</v>
      </c>
    </row>
    <row r="58" spans="1:43" ht="14.4" x14ac:dyDescent="0.3">
      <c r="A58" s="21" t="s">
        <v>51</v>
      </c>
      <c r="B58" s="132">
        <v>667</v>
      </c>
      <c r="C58" s="95">
        <v>0</v>
      </c>
      <c r="D58" s="116">
        <v>78</v>
      </c>
      <c r="E58" s="117">
        <v>78</v>
      </c>
      <c r="F58" s="103">
        <f t="shared" si="6"/>
        <v>0</v>
      </c>
      <c r="G58" s="113">
        <v>16</v>
      </c>
      <c r="H58" s="110">
        <v>16</v>
      </c>
      <c r="I58" s="105">
        <f t="shared" si="7"/>
        <v>0</v>
      </c>
      <c r="J58" s="22">
        <f t="shared" si="33"/>
        <v>16</v>
      </c>
      <c r="K58" s="99">
        <f t="shared" si="33"/>
        <v>16</v>
      </c>
      <c r="L58" s="169">
        <f t="shared" si="8"/>
        <v>0</v>
      </c>
      <c r="M58" s="126">
        <f t="shared" si="26"/>
        <v>16</v>
      </c>
      <c r="N58" s="27">
        <v>16</v>
      </c>
      <c r="O58" s="119">
        <f t="shared" si="9"/>
        <v>445520</v>
      </c>
      <c r="P58" s="119">
        <f t="shared" si="10"/>
        <v>134547.04</v>
      </c>
      <c r="Q58" s="119">
        <f t="shared" si="1"/>
        <v>580067.04</v>
      </c>
      <c r="R58" s="24">
        <f t="shared" si="2"/>
        <v>2.359882005899705E-2</v>
      </c>
      <c r="S58" s="120">
        <f>ROUND(R58*$O$83,0)</f>
        <v>12</v>
      </c>
      <c r="T58" s="121">
        <f t="shared" si="11"/>
        <v>334140</v>
      </c>
      <c r="U58" s="121">
        <f t="shared" si="12"/>
        <v>100910.28</v>
      </c>
      <c r="V58" s="121">
        <f t="shared" si="13"/>
        <v>435050.28</v>
      </c>
      <c r="W58" s="122">
        <f t="shared" si="14"/>
        <v>435100</v>
      </c>
      <c r="X58" s="38">
        <f>W58+'проезд Лизе к бюджету 2018'!L59</f>
        <v>483600</v>
      </c>
      <c r="Y58" s="37" t="e">
        <f>#REF!+#REF!</f>
        <v>#REF!</v>
      </c>
      <c r="Z58" s="37" t="e">
        <f t="shared" si="28"/>
        <v>#REF!</v>
      </c>
      <c r="AA58" s="193">
        <v>371340</v>
      </c>
      <c r="AB58" s="193">
        <v>105460</v>
      </c>
      <c r="AC58" s="191">
        <f t="shared" si="16"/>
        <v>476800</v>
      </c>
      <c r="AD58" s="188">
        <f t="shared" si="17"/>
        <v>445520</v>
      </c>
      <c r="AE58" s="139">
        <v>2900</v>
      </c>
      <c r="AF58" s="182">
        <f t="shared" si="18"/>
        <v>2</v>
      </c>
      <c r="AG58" s="146">
        <v>11478.3</v>
      </c>
      <c r="AH58" s="141">
        <f t="shared" si="19"/>
        <v>483099</v>
      </c>
      <c r="AI58" s="143">
        <f t="shared" si="20"/>
        <v>111759</v>
      </c>
      <c r="AJ58" s="125">
        <f>AF58-'проезд Лизе к бюджету 2018'!B59</f>
        <v>0</v>
      </c>
      <c r="AK58" s="141">
        <f t="shared" si="21"/>
        <v>111759</v>
      </c>
      <c r="AL58" s="141">
        <f t="shared" si="22"/>
        <v>-105460</v>
      </c>
      <c r="AM58" s="141">
        <f t="shared" si="23"/>
        <v>6299</v>
      </c>
      <c r="AN58" s="155">
        <f t="shared" si="29"/>
        <v>111800</v>
      </c>
      <c r="AO58" s="155">
        <f t="shared" si="30"/>
        <v>-105400</v>
      </c>
      <c r="AP58" s="154">
        <f t="shared" si="31"/>
        <v>6400</v>
      </c>
      <c r="AQ58" s="154">
        <f t="shared" si="25"/>
        <v>6400</v>
      </c>
    </row>
    <row r="59" spans="1:43" ht="14.4" x14ac:dyDescent="0.3">
      <c r="A59" s="29" t="s">
        <v>62</v>
      </c>
      <c r="B59" s="132">
        <v>689</v>
      </c>
      <c r="C59" s="95">
        <v>2</v>
      </c>
      <c r="D59" s="116">
        <v>23</v>
      </c>
      <c r="E59" s="117">
        <v>23</v>
      </c>
      <c r="F59" s="103">
        <f t="shared" si="6"/>
        <v>0</v>
      </c>
      <c r="G59" s="113">
        <v>2</v>
      </c>
      <c r="H59" s="173">
        <v>6</v>
      </c>
      <c r="I59" s="105">
        <f t="shared" si="7"/>
        <v>4</v>
      </c>
      <c r="J59" s="22">
        <f t="shared" si="33"/>
        <v>5</v>
      </c>
      <c r="K59" s="170">
        <v>6</v>
      </c>
      <c r="L59" s="169">
        <f t="shared" si="8"/>
        <v>0</v>
      </c>
      <c r="M59" s="126">
        <f t="shared" si="26"/>
        <v>6</v>
      </c>
      <c r="N59" s="25">
        <v>2</v>
      </c>
      <c r="O59" s="119">
        <f t="shared" si="9"/>
        <v>55690</v>
      </c>
      <c r="P59" s="119">
        <f t="shared" si="10"/>
        <v>16818.38</v>
      </c>
      <c r="Q59" s="119">
        <f t="shared" si="1"/>
        <v>72508.38</v>
      </c>
      <c r="R59" s="24">
        <f t="shared" si="2"/>
        <v>2.9498525073746312E-3</v>
      </c>
      <c r="S59" s="120">
        <f>ROUND(R59*$O$83,0)</f>
        <v>1</v>
      </c>
      <c r="T59" s="121">
        <f t="shared" si="11"/>
        <v>27845</v>
      </c>
      <c r="U59" s="121">
        <f t="shared" si="12"/>
        <v>8409.19</v>
      </c>
      <c r="V59" s="121">
        <f t="shared" si="13"/>
        <v>36254.19</v>
      </c>
      <c r="W59" s="122">
        <f t="shared" si="14"/>
        <v>36300.000000000007</v>
      </c>
      <c r="X59" s="38">
        <f>W59+'проезд Лизе к бюджету 2018'!L60</f>
        <v>84800</v>
      </c>
      <c r="Y59" s="37" t="e">
        <f>#REF!+#REF!</f>
        <v>#REF!</v>
      </c>
      <c r="Z59" s="37" t="e">
        <f t="shared" si="28"/>
        <v>#REF!</v>
      </c>
      <c r="AA59" s="193">
        <v>148580</v>
      </c>
      <c r="AB59" s="193">
        <v>45020</v>
      </c>
      <c r="AC59" s="191">
        <f t="shared" si="16"/>
        <v>193600</v>
      </c>
      <c r="AD59" s="188">
        <f t="shared" si="17"/>
        <v>167070</v>
      </c>
      <c r="AE59" s="139">
        <v>2900</v>
      </c>
      <c r="AF59" s="182">
        <v>1</v>
      </c>
      <c r="AG59" s="146">
        <v>11520.4</v>
      </c>
      <c r="AH59" s="141">
        <f t="shared" si="19"/>
        <v>191641</v>
      </c>
      <c r="AI59" s="143">
        <f t="shared" si="20"/>
        <v>43061</v>
      </c>
      <c r="AJ59" s="125">
        <f>AF59-'проезд Лизе к бюджету 2018'!B60</f>
        <v>0</v>
      </c>
      <c r="AK59" s="141">
        <f t="shared" si="21"/>
        <v>43061</v>
      </c>
      <c r="AL59" s="141">
        <f t="shared" si="22"/>
        <v>-45020</v>
      </c>
      <c r="AM59" s="141">
        <f t="shared" si="23"/>
        <v>-1959</v>
      </c>
      <c r="AN59" s="155">
        <f t="shared" si="29"/>
        <v>43100</v>
      </c>
      <c r="AO59" s="155">
        <f t="shared" si="30"/>
        <v>-45000</v>
      </c>
      <c r="AP59" s="154">
        <f t="shared" si="31"/>
        <v>-1900</v>
      </c>
      <c r="AQ59" s="154">
        <f t="shared" si="25"/>
        <v>-1900</v>
      </c>
    </row>
    <row r="60" spans="1:43" ht="14.4" x14ac:dyDescent="0.3">
      <c r="A60" s="21" t="s">
        <v>144</v>
      </c>
      <c r="B60" s="132">
        <v>690</v>
      </c>
      <c r="C60" s="95">
        <v>4</v>
      </c>
      <c r="D60" s="106">
        <v>46</v>
      </c>
      <c r="E60" s="101">
        <v>46</v>
      </c>
      <c r="F60" s="103">
        <f t="shared" si="6"/>
        <v>0</v>
      </c>
      <c r="G60" s="111">
        <v>33</v>
      </c>
      <c r="H60" s="104">
        <v>33</v>
      </c>
      <c r="I60" s="105">
        <f t="shared" si="7"/>
        <v>0</v>
      </c>
      <c r="J60" s="22">
        <f t="shared" si="33"/>
        <v>10</v>
      </c>
      <c r="K60" s="170">
        <f t="shared" si="33"/>
        <v>10</v>
      </c>
      <c r="L60" s="171">
        <f t="shared" si="8"/>
        <v>-23</v>
      </c>
      <c r="M60" s="126">
        <f t="shared" si="26"/>
        <v>10</v>
      </c>
      <c r="N60" s="25">
        <v>10</v>
      </c>
      <c r="O60" s="119">
        <f t="shared" si="9"/>
        <v>278450</v>
      </c>
      <c r="P60" s="119">
        <f t="shared" si="10"/>
        <v>84091.9</v>
      </c>
      <c r="Q60" s="119">
        <f t="shared" si="1"/>
        <v>362541.9</v>
      </c>
      <c r="R60" s="24">
        <f t="shared" si="2"/>
        <v>1.4749262536873156E-2</v>
      </c>
      <c r="S60" s="120">
        <f>ROUND(R60*$O$83,0)</f>
        <v>7</v>
      </c>
      <c r="T60" s="121">
        <f t="shared" si="11"/>
        <v>194915</v>
      </c>
      <c r="U60" s="121">
        <f t="shared" si="12"/>
        <v>58864.33</v>
      </c>
      <c r="V60" s="121">
        <f t="shared" si="13"/>
        <v>253779.33000000002</v>
      </c>
      <c r="W60" s="122">
        <f t="shared" si="14"/>
        <v>253799.99999999997</v>
      </c>
      <c r="X60" s="38">
        <f>W60+'проезд Лизе к бюджету 2018'!L61</f>
        <v>350699.99999999994</v>
      </c>
      <c r="Y60" s="37" t="e">
        <f>#REF!+#REF!</f>
        <v>#REF!</v>
      </c>
      <c r="Z60" s="37" t="e">
        <f t="shared" si="28"/>
        <v>#REF!</v>
      </c>
      <c r="AA60" s="193">
        <v>269315</v>
      </c>
      <c r="AB60" s="193">
        <v>81485</v>
      </c>
      <c r="AC60" s="191">
        <f t="shared" si="16"/>
        <v>350800</v>
      </c>
      <c r="AD60" s="188">
        <f>$K$2*M60</f>
        <v>278450</v>
      </c>
      <c r="AE60" s="139">
        <v>4350</v>
      </c>
      <c r="AF60" s="182">
        <f t="shared" si="18"/>
        <v>3</v>
      </c>
      <c r="AG60" s="146">
        <v>20222.900000000001</v>
      </c>
      <c r="AH60" s="141">
        <f t="shared" si="19"/>
        <v>337823</v>
      </c>
      <c r="AI60" s="143">
        <f t="shared" si="20"/>
        <v>68508</v>
      </c>
      <c r="AJ60" s="125">
        <f>AF60-'проезд Лизе к бюджету 2018'!B61</f>
        <v>2</v>
      </c>
      <c r="AK60" s="141">
        <f t="shared" si="21"/>
        <v>68508</v>
      </c>
      <c r="AL60" s="141">
        <f t="shared" si="22"/>
        <v>-81485</v>
      </c>
      <c r="AM60" s="141">
        <f t="shared" si="23"/>
        <v>-12977</v>
      </c>
      <c r="AN60" s="155">
        <f t="shared" si="29"/>
        <v>68600</v>
      </c>
      <c r="AO60" s="155">
        <f t="shared" si="30"/>
        <v>-81400</v>
      </c>
      <c r="AP60" s="154">
        <f t="shared" si="31"/>
        <v>-12800</v>
      </c>
      <c r="AQ60" s="157"/>
    </row>
    <row r="61" spans="1:43" ht="14.4" x14ac:dyDescent="0.3">
      <c r="A61" s="21" t="s">
        <v>145</v>
      </c>
      <c r="B61" s="132">
        <v>691</v>
      </c>
      <c r="C61" s="95"/>
      <c r="D61" s="106"/>
      <c r="E61" s="106"/>
      <c r="F61" s="103">
        <f t="shared" si="6"/>
        <v>0</v>
      </c>
      <c r="G61" s="111"/>
      <c r="H61" s="111"/>
      <c r="I61" s="105">
        <f t="shared" si="7"/>
        <v>0</v>
      </c>
      <c r="J61" s="22"/>
      <c r="K61" s="99"/>
      <c r="L61" s="169">
        <f t="shared" si="8"/>
        <v>0</v>
      </c>
      <c r="M61" s="126">
        <f t="shared" si="26"/>
        <v>0</v>
      </c>
      <c r="N61" s="25"/>
      <c r="O61" s="119"/>
      <c r="P61" s="119"/>
      <c r="Q61" s="119"/>
      <c r="R61" s="24"/>
      <c r="S61" s="120"/>
      <c r="T61" s="121"/>
      <c r="U61" s="121"/>
      <c r="V61" s="121"/>
      <c r="W61" s="122"/>
      <c r="X61" s="38"/>
      <c r="Y61" s="37"/>
      <c r="Z61" s="37"/>
      <c r="AA61" s="193"/>
      <c r="AB61" s="193"/>
      <c r="AC61" s="191"/>
      <c r="AD61" s="188"/>
      <c r="AE61" s="139"/>
      <c r="AF61" s="182">
        <f t="shared" si="18"/>
        <v>0</v>
      </c>
      <c r="AG61" s="146"/>
      <c r="AH61" s="141">
        <f t="shared" si="19"/>
        <v>0</v>
      </c>
      <c r="AI61" s="143">
        <f t="shared" si="20"/>
        <v>0</v>
      </c>
      <c r="AJ61" s="125">
        <f>AF61-'проезд Лизе к бюджету 2018'!B62</f>
        <v>0</v>
      </c>
      <c r="AK61" s="141">
        <f t="shared" si="21"/>
        <v>0</v>
      </c>
      <c r="AL61" s="141">
        <f t="shared" si="22"/>
        <v>0</v>
      </c>
      <c r="AM61" s="141">
        <f t="shared" si="23"/>
        <v>0</v>
      </c>
      <c r="AN61" s="155">
        <f t="shared" si="29"/>
        <v>0</v>
      </c>
      <c r="AO61" s="155">
        <f t="shared" si="30"/>
        <v>0</v>
      </c>
      <c r="AP61" s="154">
        <f t="shared" si="31"/>
        <v>0</v>
      </c>
      <c r="AQ61" s="154">
        <f t="shared" si="25"/>
        <v>0</v>
      </c>
    </row>
    <row r="62" spans="1:43" ht="14.4" x14ac:dyDescent="0.3">
      <c r="A62" s="21" t="s">
        <v>55</v>
      </c>
      <c r="B62" s="134" t="s">
        <v>93</v>
      </c>
      <c r="C62" s="95">
        <v>1</v>
      </c>
      <c r="D62" s="106">
        <v>29</v>
      </c>
      <c r="E62" s="101">
        <v>28</v>
      </c>
      <c r="F62" s="103">
        <f t="shared" si="6"/>
        <v>-1</v>
      </c>
      <c r="G62" s="111">
        <v>5</v>
      </c>
      <c r="H62" s="104">
        <v>6</v>
      </c>
      <c r="I62" s="105">
        <f t="shared" si="7"/>
        <v>1</v>
      </c>
      <c r="J62" s="22">
        <f t="shared" ref="J62:K75" si="35">ROUNDUP(D62/5,0)</f>
        <v>6</v>
      </c>
      <c r="K62" s="99">
        <f t="shared" si="35"/>
        <v>6</v>
      </c>
      <c r="L62" s="169">
        <f t="shared" si="8"/>
        <v>0</v>
      </c>
      <c r="M62" s="126">
        <f t="shared" si="26"/>
        <v>6</v>
      </c>
      <c r="N62" s="25">
        <v>5</v>
      </c>
      <c r="O62" s="119">
        <f t="shared" si="9"/>
        <v>139225</v>
      </c>
      <c r="P62" s="119">
        <f t="shared" si="10"/>
        <v>42045.95</v>
      </c>
      <c r="Q62" s="119">
        <f t="shared" si="1"/>
        <v>181270.95</v>
      </c>
      <c r="R62" s="24">
        <f t="shared" ref="R62:R74" si="36">N62/$N$76</f>
        <v>7.3746312684365781E-3</v>
      </c>
      <c r="S62" s="120">
        <f t="shared" ref="S62:S75" si="37">ROUND(R62*$O$83,0)</f>
        <v>4</v>
      </c>
      <c r="T62" s="121">
        <f t="shared" si="11"/>
        <v>111380</v>
      </c>
      <c r="U62" s="121">
        <f t="shared" si="12"/>
        <v>33636.76</v>
      </c>
      <c r="V62" s="121">
        <f t="shared" si="13"/>
        <v>145016.76</v>
      </c>
      <c r="W62" s="122">
        <f t="shared" si="14"/>
        <v>145100</v>
      </c>
      <c r="X62" s="38">
        <f>W62+'проезд Лизе к бюджету 2018'!L62</f>
        <v>145100</v>
      </c>
      <c r="Y62" s="37" t="e">
        <f>#REF!+#REF!</f>
        <v>#REF!</v>
      </c>
      <c r="Z62" s="37" t="e">
        <f t="shared" si="28"/>
        <v>#REF!</v>
      </c>
      <c r="AA62" s="193">
        <v>139225</v>
      </c>
      <c r="AB62" s="193">
        <v>42175</v>
      </c>
      <c r="AC62" s="191">
        <f t="shared" si="16"/>
        <v>181400</v>
      </c>
      <c r="AD62" s="188">
        <f t="shared" si="17"/>
        <v>167070</v>
      </c>
      <c r="AE62" s="139"/>
      <c r="AF62" s="182">
        <f t="shared" si="18"/>
        <v>0</v>
      </c>
      <c r="AG62" s="147"/>
      <c r="AH62" s="141">
        <f t="shared" si="19"/>
        <v>167070</v>
      </c>
      <c r="AI62" s="143">
        <f t="shared" si="20"/>
        <v>27845</v>
      </c>
      <c r="AJ62" s="125">
        <f>AF62-'проезд Лизе к бюджету 2018'!B63</f>
        <v>-6</v>
      </c>
      <c r="AK62" s="141">
        <f t="shared" si="21"/>
        <v>27845</v>
      </c>
      <c r="AL62" s="141">
        <f t="shared" si="22"/>
        <v>-42175</v>
      </c>
      <c r="AM62" s="141">
        <f t="shared" si="23"/>
        <v>-14330</v>
      </c>
      <c r="AN62" s="155">
        <f t="shared" si="29"/>
        <v>27900.000000000004</v>
      </c>
      <c r="AO62" s="155">
        <f t="shared" si="30"/>
        <v>-42100</v>
      </c>
      <c r="AP62" s="154">
        <f t="shared" si="31"/>
        <v>-14199.999999999996</v>
      </c>
      <c r="AQ62" s="157"/>
    </row>
    <row r="63" spans="1:43" ht="14.4" x14ac:dyDescent="0.3">
      <c r="A63" s="21" t="s">
        <v>61</v>
      </c>
      <c r="B63" s="134" t="s">
        <v>94</v>
      </c>
      <c r="C63" s="95">
        <v>0</v>
      </c>
      <c r="D63" s="106">
        <v>35</v>
      </c>
      <c r="E63" s="101">
        <v>35</v>
      </c>
      <c r="F63" s="103">
        <f t="shared" si="6"/>
        <v>0</v>
      </c>
      <c r="G63" s="111">
        <v>7</v>
      </c>
      <c r="H63" s="104">
        <v>6</v>
      </c>
      <c r="I63" s="105">
        <f t="shared" si="7"/>
        <v>-1</v>
      </c>
      <c r="J63" s="22">
        <f t="shared" si="35"/>
        <v>7</v>
      </c>
      <c r="K63" s="99">
        <f t="shared" si="35"/>
        <v>7</v>
      </c>
      <c r="L63" s="169">
        <f t="shared" si="8"/>
        <v>1</v>
      </c>
      <c r="M63" s="126">
        <f t="shared" si="26"/>
        <v>6</v>
      </c>
      <c r="N63" s="25">
        <v>7</v>
      </c>
      <c r="O63" s="119">
        <f t="shared" si="9"/>
        <v>194915</v>
      </c>
      <c r="P63" s="119">
        <f t="shared" si="10"/>
        <v>58864.33</v>
      </c>
      <c r="Q63" s="119">
        <f t="shared" si="1"/>
        <v>253779.33000000002</v>
      </c>
      <c r="R63" s="24">
        <f t="shared" si="36"/>
        <v>1.0324483775811209E-2</v>
      </c>
      <c r="S63" s="120">
        <f t="shared" si="37"/>
        <v>5</v>
      </c>
      <c r="T63" s="121">
        <f t="shared" si="11"/>
        <v>139225</v>
      </c>
      <c r="U63" s="121">
        <f t="shared" si="12"/>
        <v>42045.95</v>
      </c>
      <c r="V63" s="121">
        <f t="shared" si="13"/>
        <v>181270.95</v>
      </c>
      <c r="W63" s="122">
        <f t="shared" si="14"/>
        <v>181299.99999999997</v>
      </c>
      <c r="X63" s="38">
        <f>W63+'проезд Лизе к бюджету 2018'!L63</f>
        <v>302400</v>
      </c>
      <c r="Y63" s="37" t="e">
        <f>#REF!+#REF!</f>
        <v>#REF!</v>
      </c>
      <c r="Z63" s="37" t="e">
        <f t="shared" si="28"/>
        <v>#REF!</v>
      </c>
      <c r="AA63" s="193">
        <v>176425</v>
      </c>
      <c r="AB63" s="193">
        <v>53475</v>
      </c>
      <c r="AC63" s="191">
        <f t="shared" si="16"/>
        <v>229900</v>
      </c>
      <c r="AD63" s="188">
        <f t="shared" si="17"/>
        <v>167070</v>
      </c>
      <c r="AE63" s="139">
        <v>2900</v>
      </c>
      <c r="AF63" s="182">
        <f t="shared" si="18"/>
        <v>2</v>
      </c>
      <c r="AG63" s="147">
        <v>11522</v>
      </c>
      <c r="AH63" s="141">
        <f t="shared" si="19"/>
        <v>204692</v>
      </c>
      <c r="AI63" s="143">
        <f t="shared" si="20"/>
        <v>28267</v>
      </c>
      <c r="AJ63" s="125">
        <f>AF63-'проезд Лизе к бюджету 2018'!B64</f>
        <v>1</v>
      </c>
      <c r="AK63" s="141">
        <f t="shared" si="21"/>
        <v>28267</v>
      </c>
      <c r="AL63" s="141">
        <f t="shared" si="22"/>
        <v>-53475</v>
      </c>
      <c r="AM63" s="141">
        <f t="shared" si="23"/>
        <v>-25208</v>
      </c>
      <c r="AN63" s="155">
        <f t="shared" si="29"/>
        <v>28300</v>
      </c>
      <c r="AO63" s="155">
        <f t="shared" si="30"/>
        <v>-53400</v>
      </c>
      <c r="AP63" s="154">
        <f t="shared" si="31"/>
        <v>-25100</v>
      </c>
      <c r="AQ63" s="154">
        <f t="shared" si="25"/>
        <v>-25100</v>
      </c>
    </row>
    <row r="64" spans="1:43" ht="16.95" customHeight="1" x14ac:dyDescent="0.3">
      <c r="A64" s="21" t="s">
        <v>95</v>
      </c>
      <c r="B64" s="134" t="s">
        <v>96</v>
      </c>
      <c r="C64" s="95">
        <v>5</v>
      </c>
      <c r="D64" s="106">
        <v>66</v>
      </c>
      <c r="E64" s="101">
        <v>64</v>
      </c>
      <c r="F64" s="103">
        <f t="shared" si="6"/>
        <v>-2</v>
      </c>
      <c r="G64" s="111">
        <v>32</v>
      </c>
      <c r="H64" s="104">
        <v>10</v>
      </c>
      <c r="I64" s="105">
        <f t="shared" si="7"/>
        <v>-22</v>
      </c>
      <c r="J64" s="22">
        <f t="shared" si="35"/>
        <v>14</v>
      </c>
      <c r="K64" s="99">
        <f t="shared" si="35"/>
        <v>13</v>
      </c>
      <c r="L64" s="169">
        <f t="shared" si="8"/>
        <v>3</v>
      </c>
      <c r="M64" s="126">
        <f t="shared" si="26"/>
        <v>10</v>
      </c>
      <c r="N64" s="25">
        <v>14</v>
      </c>
      <c r="O64" s="119">
        <f t="shared" si="9"/>
        <v>389830</v>
      </c>
      <c r="P64" s="119">
        <f t="shared" si="10"/>
        <v>117728.66</v>
      </c>
      <c r="Q64" s="119">
        <f t="shared" si="1"/>
        <v>507558.66000000003</v>
      </c>
      <c r="R64" s="24">
        <f t="shared" si="36"/>
        <v>2.0648967551622419E-2</v>
      </c>
      <c r="S64" s="120">
        <f t="shared" si="37"/>
        <v>10</v>
      </c>
      <c r="T64" s="121">
        <f t="shared" si="11"/>
        <v>278450</v>
      </c>
      <c r="U64" s="121">
        <f t="shared" si="12"/>
        <v>84091.9</v>
      </c>
      <c r="V64" s="121">
        <f t="shared" si="13"/>
        <v>362541.9</v>
      </c>
      <c r="W64" s="122">
        <f t="shared" si="14"/>
        <v>362600</v>
      </c>
      <c r="X64" s="38">
        <f>W64+'проезд Лизе к бюджету 2018'!L64</f>
        <v>411100</v>
      </c>
      <c r="Y64" s="37" t="e">
        <f>#REF!+#REF!</f>
        <v>#REF!</v>
      </c>
      <c r="Z64" s="37" t="e">
        <f t="shared" si="28"/>
        <v>#REF!</v>
      </c>
      <c r="AA64" s="193">
        <v>408650</v>
      </c>
      <c r="AB64" s="193">
        <v>123550</v>
      </c>
      <c r="AC64" s="191">
        <f t="shared" si="16"/>
        <v>532200</v>
      </c>
      <c r="AD64" s="188">
        <f t="shared" si="17"/>
        <v>278450</v>
      </c>
      <c r="AE64" s="139">
        <v>7250</v>
      </c>
      <c r="AF64" s="182">
        <v>6</v>
      </c>
      <c r="AG64" s="147">
        <v>21670.3</v>
      </c>
      <c r="AH64" s="141">
        <f t="shared" si="19"/>
        <v>378421</v>
      </c>
      <c r="AI64" s="143">
        <f t="shared" si="20"/>
        <v>-30229</v>
      </c>
      <c r="AJ64" s="125">
        <f>AF64-'проезд Лизе к бюджету 2018'!B65</f>
        <v>5</v>
      </c>
      <c r="AK64" s="141">
        <f t="shared" si="21"/>
        <v>-30229</v>
      </c>
      <c r="AL64" s="141">
        <f t="shared" si="22"/>
        <v>-123550</v>
      </c>
      <c r="AM64" s="141">
        <f t="shared" si="23"/>
        <v>-153779</v>
      </c>
      <c r="AN64" s="155">
        <f t="shared" si="29"/>
        <v>-30200</v>
      </c>
      <c r="AO64" s="155">
        <f t="shared" si="30"/>
        <v>-123500</v>
      </c>
      <c r="AP64" s="154">
        <f t="shared" si="31"/>
        <v>-153700</v>
      </c>
      <c r="AQ64" s="154">
        <f t="shared" si="25"/>
        <v>-153700</v>
      </c>
    </row>
    <row r="65" spans="1:43" ht="14.4" x14ac:dyDescent="0.3">
      <c r="A65" s="21" t="s">
        <v>52</v>
      </c>
      <c r="B65" s="134" t="s">
        <v>97</v>
      </c>
      <c r="C65" s="95"/>
      <c r="D65" s="106"/>
      <c r="E65" s="101">
        <v>68</v>
      </c>
      <c r="F65" s="103">
        <f t="shared" si="6"/>
        <v>68</v>
      </c>
      <c r="G65" s="111"/>
      <c r="H65" s="104">
        <v>12</v>
      </c>
      <c r="I65" s="105">
        <f t="shared" si="7"/>
        <v>12</v>
      </c>
      <c r="J65" s="22">
        <f t="shared" si="35"/>
        <v>0</v>
      </c>
      <c r="K65" s="99">
        <f t="shared" si="35"/>
        <v>14</v>
      </c>
      <c r="L65" s="169">
        <f t="shared" si="8"/>
        <v>2</v>
      </c>
      <c r="M65" s="126">
        <f t="shared" si="26"/>
        <v>12</v>
      </c>
      <c r="N65" s="25"/>
      <c r="O65" s="119">
        <f t="shared" si="9"/>
        <v>0</v>
      </c>
      <c r="P65" s="119">
        <f t="shared" si="10"/>
        <v>0</v>
      </c>
      <c r="Q65" s="119">
        <f t="shared" si="1"/>
        <v>0</v>
      </c>
      <c r="R65" s="24">
        <f t="shared" si="36"/>
        <v>0</v>
      </c>
      <c r="S65" s="120">
        <f t="shared" si="37"/>
        <v>0</v>
      </c>
      <c r="T65" s="121">
        <f t="shared" si="11"/>
        <v>0</v>
      </c>
      <c r="U65" s="121">
        <f t="shared" si="12"/>
        <v>0</v>
      </c>
      <c r="V65" s="121">
        <f t="shared" si="13"/>
        <v>0</v>
      </c>
      <c r="W65" s="122">
        <f t="shared" si="14"/>
        <v>0</v>
      </c>
      <c r="X65" s="38">
        <f>W65+'проезд Лизе к бюджету 2018'!L65</f>
        <v>48500</v>
      </c>
      <c r="Y65" s="37" t="e">
        <f>#REF!+#REF!</f>
        <v>#REF!</v>
      </c>
      <c r="Z65" s="37" t="e">
        <f t="shared" si="28"/>
        <v>#REF!</v>
      </c>
      <c r="AA65" s="193">
        <v>297050</v>
      </c>
      <c r="AB65" s="193">
        <v>89850</v>
      </c>
      <c r="AC65" s="191">
        <f t="shared" si="16"/>
        <v>386900</v>
      </c>
      <c r="AD65" s="188">
        <f t="shared" si="17"/>
        <v>334140</v>
      </c>
      <c r="AE65" s="139">
        <v>1450</v>
      </c>
      <c r="AF65" s="182">
        <f t="shared" si="18"/>
        <v>1</v>
      </c>
      <c r="AG65" s="147">
        <v>4342.51</v>
      </c>
      <c r="AH65" s="141">
        <f t="shared" si="19"/>
        <v>351533</v>
      </c>
      <c r="AI65" s="143">
        <f t="shared" si="20"/>
        <v>54483</v>
      </c>
      <c r="AJ65" s="125">
        <f>AF65-'проезд Лизе к бюджету 2018'!B66</f>
        <v>1</v>
      </c>
      <c r="AK65" s="141">
        <f t="shared" si="21"/>
        <v>54483</v>
      </c>
      <c r="AL65" s="141">
        <f t="shared" si="22"/>
        <v>-89850</v>
      </c>
      <c r="AM65" s="141">
        <f t="shared" si="23"/>
        <v>-35367</v>
      </c>
      <c r="AN65" s="155">
        <f t="shared" si="29"/>
        <v>54500</v>
      </c>
      <c r="AO65" s="155">
        <f t="shared" si="30"/>
        <v>-89800</v>
      </c>
      <c r="AP65" s="154">
        <f t="shared" si="31"/>
        <v>-35300</v>
      </c>
      <c r="AQ65" s="154">
        <f t="shared" si="25"/>
        <v>-35300</v>
      </c>
    </row>
    <row r="66" spans="1:43" ht="14.4" x14ac:dyDescent="0.3">
      <c r="A66" s="21" t="s">
        <v>57</v>
      </c>
      <c r="B66" s="134" t="s">
        <v>98</v>
      </c>
      <c r="C66" s="95">
        <v>9</v>
      </c>
      <c r="D66" s="106">
        <v>91</v>
      </c>
      <c r="E66" s="101">
        <v>83</v>
      </c>
      <c r="F66" s="103">
        <f t="shared" si="6"/>
        <v>-8</v>
      </c>
      <c r="G66" s="111">
        <v>13</v>
      </c>
      <c r="H66" s="104">
        <v>15</v>
      </c>
      <c r="I66" s="105">
        <f t="shared" si="7"/>
        <v>2</v>
      </c>
      <c r="J66" s="22">
        <f t="shared" si="35"/>
        <v>19</v>
      </c>
      <c r="K66" s="99">
        <f t="shared" si="35"/>
        <v>17</v>
      </c>
      <c r="L66" s="169">
        <f t="shared" si="8"/>
        <v>2</v>
      </c>
      <c r="M66" s="126">
        <f t="shared" si="26"/>
        <v>15</v>
      </c>
      <c r="N66" s="25">
        <v>13</v>
      </c>
      <c r="O66" s="119">
        <f t="shared" si="9"/>
        <v>361985</v>
      </c>
      <c r="P66" s="119">
        <f t="shared" si="10"/>
        <v>109319.47</v>
      </c>
      <c r="Q66" s="119">
        <f t="shared" si="1"/>
        <v>471304.47</v>
      </c>
      <c r="R66" s="24">
        <f t="shared" si="36"/>
        <v>1.9174041297935103E-2</v>
      </c>
      <c r="S66" s="120">
        <f t="shared" si="37"/>
        <v>10</v>
      </c>
      <c r="T66" s="121">
        <f t="shared" si="11"/>
        <v>278450</v>
      </c>
      <c r="U66" s="121">
        <f t="shared" si="12"/>
        <v>84091.9</v>
      </c>
      <c r="V66" s="121">
        <f t="shared" si="13"/>
        <v>362541.9</v>
      </c>
      <c r="W66" s="122">
        <f t="shared" si="14"/>
        <v>362600</v>
      </c>
      <c r="X66" s="38">
        <f>W66+'проезд Лизе к бюджету 2018'!L66</f>
        <v>362600</v>
      </c>
      <c r="Y66" s="37" t="e">
        <f>#REF!+#REF!</f>
        <v>#REF!</v>
      </c>
      <c r="Z66" s="37" t="e">
        <f t="shared" si="28"/>
        <v>#REF!</v>
      </c>
      <c r="AA66" s="193">
        <v>501540</v>
      </c>
      <c r="AB66" s="193">
        <v>150660</v>
      </c>
      <c r="AC66" s="191">
        <f t="shared" si="16"/>
        <v>652200</v>
      </c>
      <c r="AD66" s="188">
        <f t="shared" si="17"/>
        <v>417675</v>
      </c>
      <c r="AE66" s="139">
        <v>1698</v>
      </c>
      <c r="AF66" s="181">
        <f t="shared" si="18"/>
        <v>1</v>
      </c>
      <c r="AG66" s="147">
        <v>53650</v>
      </c>
      <c r="AH66" s="141">
        <f t="shared" si="19"/>
        <v>484375</v>
      </c>
      <c r="AI66" s="143">
        <f t="shared" si="20"/>
        <v>-17165</v>
      </c>
      <c r="AJ66" s="125">
        <f>AF66-'проезд Лизе к бюджету 2018'!B67</f>
        <v>-4</v>
      </c>
      <c r="AK66" s="141">
        <f t="shared" si="21"/>
        <v>-17165</v>
      </c>
      <c r="AL66" s="141">
        <f t="shared" si="22"/>
        <v>-150660</v>
      </c>
      <c r="AM66" s="141">
        <f t="shared" si="23"/>
        <v>-167825</v>
      </c>
      <c r="AN66" s="155">
        <f t="shared" si="29"/>
        <v>-17100</v>
      </c>
      <c r="AO66" s="155">
        <f t="shared" si="30"/>
        <v>-150600</v>
      </c>
      <c r="AP66" s="154">
        <f t="shared" si="31"/>
        <v>-167700</v>
      </c>
      <c r="AQ66" s="154">
        <f t="shared" si="25"/>
        <v>-167700</v>
      </c>
    </row>
    <row r="67" spans="1:43" ht="14.4" x14ac:dyDescent="0.3">
      <c r="A67" s="21" t="s">
        <v>99</v>
      </c>
      <c r="B67" s="134" t="s">
        <v>100</v>
      </c>
      <c r="C67" s="95">
        <v>0</v>
      </c>
      <c r="D67" s="106">
        <v>15</v>
      </c>
      <c r="E67" s="101">
        <v>13</v>
      </c>
      <c r="F67" s="103">
        <f t="shared" si="6"/>
        <v>-2</v>
      </c>
      <c r="G67" s="111">
        <v>2</v>
      </c>
      <c r="H67" s="104">
        <v>0</v>
      </c>
      <c r="I67" s="105">
        <f t="shared" si="7"/>
        <v>-2</v>
      </c>
      <c r="J67" s="22">
        <f t="shared" si="35"/>
        <v>3</v>
      </c>
      <c r="K67" s="99">
        <f>ROUNDUP(E67/5,0)</f>
        <v>3</v>
      </c>
      <c r="L67" s="169">
        <f t="shared" si="8"/>
        <v>3</v>
      </c>
      <c r="M67" s="126">
        <f t="shared" si="26"/>
        <v>0</v>
      </c>
      <c r="N67" s="25">
        <v>2</v>
      </c>
      <c r="O67" s="119">
        <f t="shared" si="9"/>
        <v>55690</v>
      </c>
      <c r="P67" s="119">
        <f t="shared" si="10"/>
        <v>16818.38</v>
      </c>
      <c r="Q67" s="119">
        <f t="shared" si="1"/>
        <v>72508.38</v>
      </c>
      <c r="R67" s="24">
        <f t="shared" si="36"/>
        <v>2.9498525073746312E-3</v>
      </c>
      <c r="S67" s="120">
        <f t="shared" si="37"/>
        <v>1</v>
      </c>
      <c r="T67" s="121">
        <f t="shared" si="11"/>
        <v>27845</v>
      </c>
      <c r="U67" s="121">
        <f t="shared" si="12"/>
        <v>8409.19</v>
      </c>
      <c r="V67" s="121">
        <f t="shared" si="13"/>
        <v>36254.19</v>
      </c>
      <c r="W67" s="122">
        <f t="shared" si="14"/>
        <v>36300.000000000007</v>
      </c>
      <c r="X67" s="38">
        <f>W67+'проезд Лизе к бюджету 2018'!L67</f>
        <v>84800</v>
      </c>
      <c r="Y67" s="37" t="e">
        <f>#REF!+#REF!</f>
        <v>#REF!</v>
      </c>
      <c r="Z67" s="37" t="e">
        <f t="shared" si="28"/>
        <v>#REF!</v>
      </c>
      <c r="AA67" s="193"/>
      <c r="AB67" s="193"/>
      <c r="AC67" s="191"/>
      <c r="AD67" s="188"/>
      <c r="AE67" s="139"/>
      <c r="AF67" s="182">
        <f t="shared" si="18"/>
        <v>0</v>
      </c>
      <c r="AG67" s="146"/>
      <c r="AH67" s="141">
        <f t="shared" si="19"/>
        <v>0</v>
      </c>
      <c r="AI67" s="143">
        <f t="shared" si="20"/>
        <v>0</v>
      </c>
      <c r="AJ67" s="125">
        <f>AF67-'проезд Лизе к бюджету 2018'!B68</f>
        <v>-7</v>
      </c>
      <c r="AK67" s="141">
        <f t="shared" si="21"/>
        <v>0</v>
      </c>
      <c r="AL67" s="141">
        <f t="shared" si="22"/>
        <v>0</v>
      </c>
      <c r="AM67" s="141">
        <f t="shared" si="23"/>
        <v>0</v>
      </c>
      <c r="AN67" s="155">
        <f t="shared" si="29"/>
        <v>0</v>
      </c>
      <c r="AO67" s="155">
        <f t="shared" si="30"/>
        <v>0</v>
      </c>
      <c r="AP67" s="154">
        <f t="shared" si="31"/>
        <v>0</v>
      </c>
      <c r="AQ67" s="154">
        <f t="shared" si="25"/>
        <v>0</v>
      </c>
    </row>
    <row r="68" spans="1:43" ht="13.2" customHeight="1" x14ac:dyDescent="0.3">
      <c r="A68" s="21" t="s">
        <v>147</v>
      </c>
      <c r="B68" s="134" t="s">
        <v>101</v>
      </c>
      <c r="C68" s="95">
        <v>3</v>
      </c>
      <c r="D68" s="106">
        <v>57</v>
      </c>
      <c r="E68" s="106">
        <v>57</v>
      </c>
      <c r="F68" s="103">
        <f t="shared" si="6"/>
        <v>0</v>
      </c>
      <c r="G68" s="111">
        <v>23</v>
      </c>
      <c r="H68" s="108">
        <v>12</v>
      </c>
      <c r="I68" s="105">
        <f t="shared" si="7"/>
        <v>-11</v>
      </c>
      <c r="J68" s="22">
        <f t="shared" si="35"/>
        <v>12</v>
      </c>
      <c r="K68" s="99">
        <f t="shared" si="35"/>
        <v>12</v>
      </c>
      <c r="L68" s="169">
        <f t="shared" si="8"/>
        <v>0</v>
      </c>
      <c r="M68" s="126">
        <f t="shared" si="26"/>
        <v>12</v>
      </c>
      <c r="N68" s="27">
        <v>12</v>
      </c>
      <c r="O68" s="119">
        <f t="shared" si="9"/>
        <v>334140</v>
      </c>
      <c r="P68" s="119">
        <f t="shared" si="10"/>
        <v>100910.28</v>
      </c>
      <c r="Q68" s="119">
        <f t="shared" si="1"/>
        <v>435050.28</v>
      </c>
      <c r="R68" s="24">
        <f t="shared" si="36"/>
        <v>1.7699115044247787E-2</v>
      </c>
      <c r="S68" s="120">
        <f t="shared" si="37"/>
        <v>9</v>
      </c>
      <c r="T68" s="121">
        <f t="shared" si="11"/>
        <v>250605</v>
      </c>
      <c r="U68" s="121">
        <f t="shared" si="12"/>
        <v>75682.710000000006</v>
      </c>
      <c r="V68" s="121">
        <f t="shared" si="13"/>
        <v>326287.71000000002</v>
      </c>
      <c r="W68" s="122">
        <f t="shared" si="14"/>
        <v>326300</v>
      </c>
      <c r="X68" s="38">
        <f>W68+'проезд Лизе к бюджету 2018'!L68</f>
        <v>495900</v>
      </c>
      <c r="Y68" s="37" t="e">
        <f>#REF!+#REF!</f>
        <v>#REF!</v>
      </c>
      <c r="Z68" s="37" t="e">
        <f t="shared" si="28"/>
        <v>#REF!</v>
      </c>
      <c r="AA68" s="193">
        <v>343605</v>
      </c>
      <c r="AB68" s="193">
        <v>103495</v>
      </c>
      <c r="AC68" s="191">
        <f t="shared" si="16"/>
        <v>447100</v>
      </c>
      <c r="AD68" s="188">
        <f t="shared" si="17"/>
        <v>334140</v>
      </c>
      <c r="AE68" s="139">
        <v>8700</v>
      </c>
      <c r="AF68" s="182">
        <v>5</v>
      </c>
      <c r="AG68" s="147">
        <v>33212.520000000004</v>
      </c>
      <c r="AH68" s="141">
        <f t="shared" si="19"/>
        <v>432603</v>
      </c>
      <c r="AI68" s="143">
        <f t="shared" si="20"/>
        <v>88998</v>
      </c>
      <c r="AJ68" s="125">
        <f>AF68-'проезд Лизе к бюджету 2018'!B69</f>
        <v>5</v>
      </c>
      <c r="AK68" s="141">
        <f t="shared" si="21"/>
        <v>88998</v>
      </c>
      <c r="AL68" s="141">
        <f t="shared" si="22"/>
        <v>-103495</v>
      </c>
      <c r="AM68" s="141">
        <f t="shared" si="23"/>
        <v>-14497</v>
      </c>
      <c r="AN68" s="155">
        <f t="shared" si="29"/>
        <v>89000</v>
      </c>
      <c r="AO68" s="155">
        <f t="shared" si="30"/>
        <v>-103400</v>
      </c>
      <c r="AP68" s="156">
        <f t="shared" si="31"/>
        <v>-14400</v>
      </c>
      <c r="AQ68" s="157"/>
    </row>
    <row r="69" spans="1:43" ht="14.4" x14ac:dyDescent="0.3">
      <c r="A69" s="21" t="s">
        <v>148</v>
      </c>
      <c r="B69" s="134" t="s">
        <v>102</v>
      </c>
      <c r="C69" s="95">
        <v>2</v>
      </c>
      <c r="D69" s="106">
        <v>70</v>
      </c>
      <c r="E69" s="106">
        <v>70</v>
      </c>
      <c r="F69" s="103">
        <f t="shared" ref="F69:F76" si="38">E69-D69</f>
        <v>0</v>
      </c>
      <c r="G69" s="111">
        <v>15</v>
      </c>
      <c r="H69" s="174">
        <v>17</v>
      </c>
      <c r="I69" s="105">
        <f t="shared" ref="I69:I76" si="39">H69-G69</f>
        <v>2</v>
      </c>
      <c r="J69" s="22">
        <f t="shared" si="35"/>
        <v>14</v>
      </c>
      <c r="K69" s="99">
        <v>17</v>
      </c>
      <c r="L69" s="169">
        <f t="shared" si="8"/>
        <v>0</v>
      </c>
      <c r="M69" s="126">
        <f t="shared" si="26"/>
        <v>17</v>
      </c>
      <c r="N69" s="27">
        <v>14</v>
      </c>
      <c r="O69" s="119">
        <f t="shared" si="9"/>
        <v>389830</v>
      </c>
      <c r="P69" s="119">
        <f t="shared" si="10"/>
        <v>117728.66</v>
      </c>
      <c r="Q69" s="119">
        <f t="shared" ref="Q69:Q75" si="40">O69+P69</f>
        <v>507558.66000000003</v>
      </c>
      <c r="R69" s="24">
        <f t="shared" si="36"/>
        <v>2.0648967551622419E-2</v>
      </c>
      <c r="S69" s="120">
        <f t="shared" si="37"/>
        <v>10</v>
      </c>
      <c r="T69" s="121">
        <f t="shared" si="11"/>
        <v>278450</v>
      </c>
      <c r="U69" s="121">
        <f t="shared" si="12"/>
        <v>84091.9</v>
      </c>
      <c r="V69" s="121">
        <f t="shared" si="13"/>
        <v>362541.9</v>
      </c>
      <c r="W69" s="122">
        <f t="shared" si="14"/>
        <v>362600</v>
      </c>
      <c r="X69" s="38">
        <f>W69+'проезд Лизе к бюджету 2018'!L69</f>
        <v>386900</v>
      </c>
      <c r="Y69" s="37" t="e">
        <f>#REF!+#REF!</f>
        <v>#REF!</v>
      </c>
      <c r="Z69" s="37" t="e">
        <f t="shared" si="28"/>
        <v>#REF!</v>
      </c>
      <c r="AA69" s="193">
        <v>315650</v>
      </c>
      <c r="AB69" s="193">
        <v>95450</v>
      </c>
      <c r="AC69" s="191">
        <f t="shared" ref="AC69:AC75" si="41">AA69+AB69</f>
        <v>411100</v>
      </c>
      <c r="AD69" s="188">
        <f>$K$2*M69</f>
        <v>473365</v>
      </c>
      <c r="AE69" s="139">
        <v>5800</v>
      </c>
      <c r="AF69" s="182">
        <v>5</v>
      </c>
      <c r="AG69" s="147">
        <v>33246.9</v>
      </c>
      <c r="AH69" s="141">
        <f t="shared" ref="AH69:AH75" si="42">ROUNDUP((1450*AF69*9)+AD69+AG69,0)</f>
        <v>571862</v>
      </c>
      <c r="AI69" s="143">
        <f t="shared" ref="AI69:AI75" si="43">AH69-AA69</f>
        <v>256212</v>
      </c>
      <c r="AJ69" s="125">
        <f>AF69-'проезд Лизе к бюджету 2018'!B70</f>
        <v>5</v>
      </c>
      <c r="AK69" s="141">
        <f t="shared" ref="AK69:AK75" si="44">AI69</f>
        <v>256212</v>
      </c>
      <c r="AL69" s="141">
        <f t="shared" ref="AL69:AL75" si="45">-AB69</f>
        <v>-95450</v>
      </c>
      <c r="AM69" s="141">
        <f t="shared" ref="AM69:AM75" si="46">SUM(AK69:AL69)</f>
        <v>160762</v>
      </c>
      <c r="AN69" s="155">
        <f t="shared" si="29"/>
        <v>256300</v>
      </c>
      <c r="AO69" s="155">
        <f t="shared" si="30"/>
        <v>-95400</v>
      </c>
      <c r="AP69" s="154">
        <f t="shared" si="31"/>
        <v>160900</v>
      </c>
      <c r="AQ69" s="154">
        <f t="shared" ref="AQ69:AQ74" si="47">AP69</f>
        <v>160900</v>
      </c>
    </row>
    <row r="70" spans="1:43" ht="14.4" x14ac:dyDescent="0.3">
      <c r="A70" s="21" t="s">
        <v>149</v>
      </c>
      <c r="B70" s="134" t="s">
        <v>103</v>
      </c>
      <c r="C70" s="95">
        <v>1</v>
      </c>
      <c r="D70" s="106">
        <v>11</v>
      </c>
      <c r="E70" s="106">
        <v>11</v>
      </c>
      <c r="F70" s="103">
        <f t="shared" si="38"/>
        <v>0</v>
      </c>
      <c r="G70" s="111">
        <v>2</v>
      </c>
      <c r="H70" s="108">
        <v>2</v>
      </c>
      <c r="I70" s="105">
        <f t="shared" si="39"/>
        <v>0</v>
      </c>
      <c r="J70" s="22">
        <f t="shared" si="35"/>
        <v>3</v>
      </c>
      <c r="K70" s="99">
        <f t="shared" si="35"/>
        <v>3</v>
      </c>
      <c r="L70" s="169">
        <f t="shared" ref="L70:L76" si="48">K70-H70</f>
        <v>1</v>
      </c>
      <c r="M70" s="126">
        <f t="shared" si="26"/>
        <v>2</v>
      </c>
      <c r="N70" s="25">
        <v>2</v>
      </c>
      <c r="O70" s="119">
        <f t="shared" ref="O70:O75" si="49">N70*$J$2</f>
        <v>55690</v>
      </c>
      <c r="P70" s="119">
        <f t="shared" ref="P70:P75" si="50">O70*$P$2</f>
        <v>16818.38</v>
      </c>
      <c r="Q70" s="119">
        <f t="shared" si="40"/>
        <v>72508.38</v>
      </c>
      <c r="R70" s="24">
        <f t="shared" si="36"/>
        <v>2.9498525073746312E-3</v>
      </c>
      <c r="S70" s="120">
        <f t="shared" si="37"/>
        <v>1</v>
      </c>
      <c r="T70" s="121">
        <f t="shared" ref="T70:T75" si="51">S70*$J$2</f>
        <v>27845</v>
      </c>
      <c r="U70" s="121">
        <f t="shared" ref="U70:U75" si="52">ROUND(T70*$P$2,2)</f>
        <v>8409.19</v>
      </c>
      <c r="V70" s="121">
        <f t="shared" ref="V70:V75" si="53">T70+U70</f>
        <v>36254.19</v>
      </c>
      <c r="W70" s="122">
        <f t="shared" ref="W70:W75" si="54">IF(V70&gt;=-99,IF(V70&gt;0,ROUNDUP(V70/1000,1),0),ROUNDDOWN(V70/1000,1))*1000</f>
        <v>36300.000000000007</v>
      </c>
      <c r="X70" s="38">
        <f>W70+'проезд Лизе к бюджету 2018'!L70</f>
        <v>36300.000000000007</v>
      </c>
      <c r="Y70" s="37" t="e">
        <f>#REF!+#REF!</f>
        <v>#REF!</v>
      </c>
      <c r="Z70" s="37" t="e">
        <f t="shared" si="28"/>
        <v>#REF!</v>
      </c>
      <c r="AA70" s="193">
        <v>92890</v>
      </c>
      <c r="AB70" s="193">
        <v>28210</v>
      </c>
      <c r="AC70" s="191">
        <f t="shared" si="41"/>
        <v>121100</v>
      </c>
      <c r="AD70" s="188">
        <f t="shared" ref="AD70:AD75" si="55">$K$2*M70</f>
        <v>55690</v>
      </c>
      <c r="AE70" s="139">
        <v>2900</v>
      </c>
      <c r="AF70" s="182">
        <f t="shared" ref="AF70:AF75" si="56">ROUND(AE70/1450,0)</f>
        <v>2</v>
      </c>
      <c r="AG70" s="147">
        <v>15885.4</v>
      </c>
      <c r="AH70" s="141">
        <f t="shared" si="42"/>
        <v>97676</v>
      </c>
      <c r="AI70" s="143">
        <f t="shared" si="43"/>
        <v>4786</v>
      </c>
      <c r="AJ70" s="125">
        <f>AF70-'проезд Лизе к бюджету 2018'!B71</f>
        <v>-10</v>
      </c>
      <c r="AK70" s="141">
        <f t="shared" si="44"/>
        <v>4786</v>
      </c>
      <c r="AL70" s="141">
        <f t="shared" si="45"/>
        <v>-28210</v>
      </c>
      <c r="AM70" s="141">
        <f t="shared" si="46"/>
        <v>-23424</v>
      </c>
      <c r="AN70" s="155">
        <f t="shared" si="29"/>
        <v>4800</v>
      </c>
      <c r="AO70" s="155">
        <f t="shared" si="30"/>
        <v>-28200</v>
      </c>
      <c r="AP70" s="154">
        <f t="shared" si="31"/>
        <v>-23400</v>
      </c>
      <c r="AQ70" s="154">
        <f t="shared" si="47"/>
        <v>-23400</v>
      </c>
    </row>
    <row r="71" spans="1:43" ht="14.4" x14ac:dyDescent="0.3">
      <c r="A71" s="21" t="s">
        <v>56</v>
      </c>
      <c r="B71" s="134" t="s">
        <v>69</v>
      </c>
      <c r="C71" s="95"/>
      <c r="D71" s="106"/>
      <c r="E71" s="101">
        <v>14</v>
      </c>
      <c r="F71" s="103">
        <f t="shared" si="38"/>
        <v>14</v>
      </c>
      <c r="G71" s="111"/>
      <c r="H71" s="104">
        <v>2</v>
      </c>
      <c r="I71" s="105">
        <f t="shared" si="39"/>
        <v>2</v>
      </c>
      <c r="J71" s="22">
        <f t="shared" si="35"/>
        <v>0</v>
      </c>
      <c r="K71" s="99">
        <f t="shared" si="35"/>
        <v>3</v>
      </c>
      <c r="L71" s="169">
        <f t="shared" si="48"/>
        <v>1</v>
      </c>
      <c r="M71" s="126">
        <f>IF(H71&gt;K71,K71,H71)</f>
        <v>2</v>
      </c>
      <c r="N71" s="25"/>
      <c r="O71" s="119">
        <f t="shared" si="49"/>
        <v>0</v>
      </c>
      <c r="P71" s="119">
        <f t="shared" si="50"/>
        <v>0</v>
      </c>
      <c r="Q71" s="119">
        <f t="shared" si="40"/>
        <v>0</v>
      </c>
      <c r="R71" s="24">
        <f t="shared" si="36"/>
        <v>0</v>
      </c>
      <c r="S71" s="120">
        <f t="shared" si="37"/>
        <v>0</v>
      </c>
      <c r="T71" s="121">
        <f t="shared" si="51"/>
        <v>0</v>
      </c>
      <c r="U71" s="121">
        <f t="shared" si="52"/>
        <v>0</v>
      </c>
      <c r="V71" s="121">
        <f t="shared" si="53"/>
        <v>0</v>
      </c>
      <c r="W71" s="122">
        <f t="shared" si="54"/>
        <v>0</v>
      </c>
      <c r="X71" s="38">
        <f>W71+'проезд Лизе к бюджету 2018'!L71</f>
        <v>218000</v>
      </c>
      <c r="Y71" s="37" t="e">
        <f>#REF!+#REF!</f>
        <v>#REF!</v>
      </c>
      <c r="Z71" s="37" t="e">
        <f t="shared" si="28"/>
        <v>#REF!</v>
      </c>
      <c r="AA71" s="193">
        <v>55690</v>
      </c>
      <c r="AB71" s="193">
        <v>16910</v>
      </c>
      <c r="AC71" s="191">
        <f t="shared" si="41"/>
        <v>72600</v>
      </c>
      <c r="AD71" s="188">
        <f t="shared" si="55"/>
        <v>55690</v>
      </c>
      <c r="AE71" s="139"/>
      <c r="AF71" s="140">
        <f t="shared" si="56"/>
        <v>0</v>
      </c>
      <c r="AG71" s="146"/>
      <c r="AH71" s="141">
        <f t="shared" si="42"/>
        <v>55690</v>
      </c>
      <c r="AI71" s="143">
        <f t="shared" si="43"/>
        <v>0</v>
      </c>
      <c r="AJ71" s="125">
        <f>AF71-'проезд Лизе к бюджету 2018'!B72</f>
        <v>-2</v>
      </c>
      <c r="AK71" s="141">
        <f t="shared" si="44"/>
        <v>0</v>
      </c>
      <c r="AL71" s="141">
        <f t="shared" si="45"/>
        <v>-16910</v>
      </c>
      <c r="AM71" s="141">
        <f t="shared" si="46"/>
        <v>-16910</v>
      </c>
      <c r="AN71" s="155">
        <f t="shared" si="29"/>
        <v>0</v>
      </c>
      <c r="AO71" s="155">
        <f t="shared" si="30"/>
        <v>-16900</v>
      </c>
      <c r="AP71" s="154">
        <f t="shared" si="31"/>
        <v>-16900</v>
      </c>
      <c r="AQ71" s="157"/>
    </row>
    <row r="72" spans="1:43" ht="19.2" customHeight="1" x14ac:dyDescent="0.3">
      <c r="A72" s="21" t="s">
        <v>53</v>
      </c>
      <c r="B72" s="135" t="s">
        <v>104</v>
      </c>
      <c r="C72" s="95">
        <v>1</v>
      </c>
      <c r="D72" s="106">
        <v>41</v>
      </c>
      <c r="E72" s="101">
        <v>44</v>
      </c>
      <c r="F72" s="103">
        <f t="shared" si="38"/>
        <v>3</v>
      </c>
      <c r="G72" s="111">
        <v>7</v>
      </c>
      <c r="H72" s="104">
        <v>8</v>
      </c>
      <c r="I72" s="105">
        <f t="shared" si="39"/>
        <v>1</v>
      </c>
      <c r="J72" s="22">
        <f t="shared" si="35"/>
        <v>9</v>
      </c>
      <c r="K72" s="99">
        <f t="shared" si="35"/>
        <v>9</v>
      </c>
      <c r="L72" s="169">
        <f t="shared" si="48"/>
        <v>1</v>
      </c>
      <c r="M72" s="126">
        <f>IF(H72&gt;K72,K72,H72)</f>
        <v>8</v>
      </c>
      <c r="N72" s="27">
        <v>7</v>
      </c>
      <c r="O72" s="119">
        <f t="shared" si="49"/>
        <v>194915</v>
      </c>
      <c r="P72" s="119">
        <f t="shared" si="50"/>
        <v>58864.33</v>
      </c>
      <c r="Q72" s="119">
        <f t="shared" si="40"/>
        <v>253779.33000000002</v>
      </c>
      <c r="R72" s="24">
        <f t="shared" si="36"/>
        <v>1.0324483775811209E-2</v>
      </c>
      <c r="S72" s="120">
        <f t="shared" si="37"/>
        <v>5</v>
      </c>
      <c r="T72" s="121">
        <f t="shared" si="51"/>
        <v>139225</v>
      </c>
      <c r="U72" s="121">
        <f t="shared" si="52"/>
        <v>42045.95</v>
      </c>
      <c r="V72" s="121">
        <f t="shared" si="53"/>
        <v>181270.95</v>
      </c>
      <c r="W72" s="122">
        <f t="shared" si="54"/>
        <v>181299.99999999997</v>
      </c>
      <c r="X72" s="38">
        <f>W72+'проезд Лизе к бюджету 2018'!L72</f>
        <v>229799.99999999997</v>
      </c>
      <c r="Y72" s="37" t="e">
        <f>#REF!+#REF!</f>
        <v>#REF!</v>
      </c>
      <c r="Z72" s="37" t="e">
        <f t="shared" si="28"/>
        <v>#REF!</v>
      </c>
      <c r="AA72" s="193">
        <v>232115</v>
      </c>
      <c r="AB72" s="193">
        <v>70285</v>
      </c>
      <c r="AC72" s="191">
        <f t="shared" si="41"/>
        <v>302400</v>
      </c>
      <c r="AD72" s="188">
        <f t="shared" si="55"/>
        <v>222760</v>
      </c>
      <c r="AE72" s="139">
        <v>2940</v>
      </c>
      <c r="AF72" s="182">
        <f t="shared" si="56"/>
        <v>2</v>
      </c>
      <c r="AG72" s="147">
        <v>10220.9</v>
      </c>
      <c r="AH72" s="141">
        <f t="shared" si="42"/>
        <v>259081</v>
      </c>
      <c r="AI72" s="143">
        <f t="shared" si="43"/>
        <v>26966</v>
      </c>
      <c r="AJ72" s="125">
        <f>AF72-'проезд Лизе к бюджету 2018'!B73</f>
        <v>2</v>
      </c>
      <c r="AK72" s="141">
        <f t="shared" si="44"/>
        <v>26966</v>
      </c>
      <c r="AL72" s="141">
        <f t="shared" si="45"/>
        <v>-70285</v>
      </c>
      <c r="AM72" s="141">
        <f t="shared" si="46"/>
        <v>-43319</v>
      </c>
      <c r="AN72" s="155">
        <f t="shared" si="29"/>
        <v>27000</v>
      </c>
      <c r="AO72" s="155">
        <f t="shared" si="30"/>
        <v>-70200</v>
      </c>
      <c r="AP72" s="154">
        <f t="shared" si="31"/>
        <v>-43200</v>
      </c>
      <c r="AQ72" s="154">
        <f t="shared" si="47"/>
        <v>-43200</v>
      </c>
    </row>
    <row r="73" spans="1:43" ht="14.4" x14ac:dyDescent="0.3">
      <c r="A73" s="21" t="s">
        <v>58</v>
      </c>
      <c r="B73" s="134" t="s">
        <v>105</v>
      </c>
      <c r="C73" s="95">
        <v>1</v>
      </c>
      <c r="D73" s="106">
        <v>35</v>
      </c>
      <c r="E73" s="101">
        <v>35</v>
      </c>
      <c r="F73" s="103">
        <f t="shared" si="38"/>
        <v>0</v>
      </c>
      <c r="G73" s="111">
        <v>8</v>
      </c>
      <c r="H73" s="104">
        <v>6</v>
      </c>
      <c r="I73" s="105">
        <f t="shared" si="39"/>
        <v>-2</v>
      </c>
      <c r="J73" s="22">
        <f t="shared" si="35"/>
        <v>7</v>
      </c>
      <c r="K73" s="99">
        <f t="shared" si="35"/>
        <v>7</v>
      </c>
      <c r="L73" s="169">
        <f t="shared" si="48"/>
        <v>1</v>
      </c>
      <c r="M73" s="126">
        <f>IF(H73&gt;K73,K73,H73)</f>
        <v>6</v>
      </c>
      <c r="N73" s="27">
        <v>8</v>
      </c>
      <c r="O73" s="119">
        <f t="shared" si="49"/>
        <v>222760</v>
      </c>
      <c r="P73" s="119">
        <f t="shared" si="50"/>
        <v>67273.52</v>
      </c>
      <c r="Q73" s="119">
        <f t="shared" si="40"/>
        <v>290033.52</v>
      </c>
      <c r="R73" s="24">
        <f t="shared" si="36"/>
        <v>1.1799410029498525E-2</v>
      </c>
      <c r="S73" s="120">
        <f t="shared" si="37"/>
        <v>6</v>
      </c>
      <c r="T73" s="121">
        <f t="shared" si="51"/>
        <v>167070</v>
      </c>
      <c r="U73" s="121">
        <f t="shared" si="52"/>
        <v>50455.14</v>
      </c>
      <c r="V73" s="121">
        <f t="shared" si="53"/>
        <v>217525.14</v>
      </c>
      <c r="W73" s="122">
        <f t="shared" si="54"/>
        <v>217600</v>
      </c>
      <c r="X73" s="38">
        <f>W73+'проезд Лизе к бюджету 2018'!L73</f>
        <v>217600</v>
      </c>
      <c r="Y73" s="37" t="e">
        <f>#REF!+#REF!</f>
        <v>#REF!</v>
      </c>
      <c r="Z73" s="37" t="e">
        <f t="shared" si="28"/>
        <v>#REF!</v>
      </c>
      <c r="AA73" s="193">
        <v>176425</v>
      </c>
      <c r="AB73" s="193">
        <v>53475</v>
      </c>
      <c r="AC73" s="191">
        <f t="shared" si="41"/>
        <v>229900</v>
      </c>
      <c r="AD73" s="188">
        <f t="shared" si="55"/>
        <v>167070</v>
      </c>
      <c r="AE73" s="139">
        <v>2900</v>
      </c>
      <c r="AF73" s="182">
        <f t="shared" si="56"/>
        <v>2</v>
      </c>
      <c r="AG73" s="146">
        <v>11600</v>
      </c>
      <c r="AH73" s="141">
        <f t="shared" si="42"/>
        <v>204770</v>
      </c>
      <c r="AI73" s="143">
        <f t="shared" si="43"/>
        <v>28345</v>
      </c>
      <c r="AJ73" s="125">
        <f>AF73-'проезд Лизе к бюджету 2018'!B74</f>
        <v>0</v>
      </c>
      <c r="AK73" s="141">
        <f t="shared" si="44"/>
        <v>28345</v>
      </c>
      <c r="AL73" s="141">
        <f t="shared" si="45"/>
        <v>-53475</v>
      </c>
      <c r="AM73" s="141">
        <f t="shared" si="46"/>
        <v>-25130</v>
      </c>
      <c r="AN73" s="155">
        <f t="shared" si="29"/>
        <v>28400.000000000004</v>
      </c>
      <c r="AO73" s="155">
        <f t="shared" si="30"/>
        <v>-53400</v>
      </c>
      <c r="AP73" s="154">
        <f t="shared" si="31"/>
        <v>-24999.999999999996</v>
      </c>
      <c r="AQ73" s="154">
        <f t="shared" si="47"/>
        <v>-24999.999999999996</v>
      </c>
    </row>
    <row r="74" spans="1:43" ht="14.4" x14ac:dyDescent="0.3">
      <c r="A74" s="21" t="s">
        <v>54</v>
      </c>
      <c r="B74" s="135" t="s">
        <v>106</v>
      </c>
      <c r="C74" s="95">
        <v>1</v>
      </c>
      <c r="D74" s="106">
        <v>63</v>
      </c>
      <c r="E74" s="101">
        <v>63</v>
      </c>
      <c r="F74" s="103">
        <f t="shared" si="38"/>
        <v>0</v>
      </c>
      <c r="G74" s="111">
        <v>14</v>
      </c>
      <c r="H74" s="104">
        <v>14</v>
      </c>
      <c r="I74" s="105">
        <f t="shared" si="39"/>
        <v>0</v>
      </c>
      <c r="J74" s="22">
        <f t="shared" si="35"/>
        <v>13</v>
      </c>
      <c r="K74" s="170">
        <f>ROUNDUP(E74/5,0)</f>
        <v>13</v>
      </c>
      <c r="L74" s="172">
        <f t="shared" si="48"/>
        <v>-1</v>
      </c>
      <c r="M74" s="126">
        <f>IF(H74&gt;K74,K74,H74)</f>
        <v>13</v>
      </c>
      <c r="N74" s="25">
        <v>13</v>
      </c>
      <c r="O74" s="119">
        <f t="shared" si="49"/>
        <v>361985</v>
      </c>
      <c r="P74" s="119">
        <f t="shared" si="50"/>
        <v>109319.47</v>
      </c>
      <c r="Q74" s="119">
        <f t="shared" si="40"/>
        <v>471304.47</v>
      </c>
      <c r="R74" s="24">
        <f t="shared" si="36"/>
        <v>1.9174041297935103E-2</v>
      </c>
      <c r="S74" s="120">
        <f t="shared" si="37"/>
        <v>10</v>
      </c>
      <c r="T74" s="121">
        <f t="shared" si="51"/>
        <v>278450</v>
      </c>
      <c r="U74" s="121">
        <f t="shared" si="52"/>
        <v>84091.9</v>
      </c>
      <c r="V74" s="121">
        <f t="shared" si="53"/>
        <v>362541.9</v>
      </c>
      <c r="W74" s="122">
        <f t="shared" si="54"/>
        <v>362600</v>
      </c>
      <c r="X74" s="38">
        <f>W74+'проезд Лизе к бюджету 2018'!L74</f>
        <v>411100</v>
      </c>
      <c r="Y74" s="37" t="e">
        <f>#REF!+#REF!</f>
        <v>#REF!</v>
      </c>
      <c r="Z74" s="37" t="e">
        <f t="shared" si="28"/>
        <v>#REF!</v>
      </c>
      <c r="AA74" s="193">
        <v>46445</v>
      </c>
      <c r="AB74" s="193">
        <v>14255</v>
      </c>
      <c r="AC74" s="191">
        <f t="shared" si="41"/>
        <v>60700</v>
      </c>
      <c r="AD74" s="188">
        <f t="shared" si="55"/>
        <v>361985</v>
      </c>
      <c r="AE74" s="139">
        <v>1450</v>
      </c>
      <c r="AF74" s="182">
        <f t="shared" si="56"/>
        <v>1</v>
      </c>
      <c r="AG74" s="147">
        <v>5727.51</v>
      </c>
      <c r="AH74" s="141">
        <f t="shared" si="42"/>
        <v>380763</v>
      </c>
      <c r="AI74" s="143">
        <f t="shared" si="43"/>
        <v>334318</v>
      </c>
      <c r="AJ74" s="125">
        <f>AF74-'проезд Лизе к бюджету 2018'!B75</f>
        <v>1</v>
      </c>
      <c r="AK74" s="141">
        <f t="shared" si="44"/>
        <v>334318</v>
      </c>
      <c r="AL74" s="141">
        <f t="shared" si="45"/>
        <v>-14255</v>
      </c>
      <c r="AM74" s="141">
        <f t="shared" si="46"/>
        <v>320063</v>
      </c>
      <c r="AN74" s="155">
        <f t="shared" si="29"/>
        <v>334400.00000000006</v>
      </c>
      <c r="AO74" s="155">
        <f t="shared" si="30"/>
        <v>-14200</v>
      </c>
      <c r="AP74" s="154">
        <f t="shared" si="31"/>
        <v>320200.00000000006</v>
      </c>
      <c r="AQ74" s="154">
        <f t="shared" si="47"/>
        <v>320200.00000000006</v>
      </c>
    </row>
    <row r="75" spans="1:43" ht="14.4" x14ac:dyDescent="0.3">
      <c r="A75" s="21" t="s">
        <v>107</v>
      </c>
      <c r="B75" s="134" t="s">
        <v>108</v>
      </c>
      <c r="C75" s="95">
        <v>0</v>
      </c>
      <c r="D75" s="106">
        <v>46</v>
      </c>
      <c r="E75" s="101">
        <v>46</v>
      </c>
      <c r="F75" s="103">
        <f t="shared" si="38"/>
        <v>0</v>
      </c>
      <c r="G75" s="111">
        <v>5</v>
      </c>
      <c r="H75" s="104">
        <v>5</v>
      </c>
      <c r="I75" s="105">
        <f t="shared" si="39"/>
        <v>0</v>
      </c>
      <c r="J75" s="22">
        <f t="shared" si="35"/>
        <v>10</v>
      </c>
      <c r="K75" s="99">
        <f t="shared" si="35"/>
        <v>10</v>
      </c>
      <c r="L75" s="169">
        <f t="shared" si="48"/>
        <v>5</v>
      </c>
      <c r="M75" s="126">
        <f>IF(H75&gt;K75,K75,H75)</f>
        <v>5</v>
      </c>
      <c r="N75" s="27">
        <v>5</v>
      </c>
      <c r="O75" s="119">
        <f t="shared" si="49"/>
        <v>139225</v>
      </c>
      <c r="P75" s="119">
        <f t="shared" si="50"/>
        <v>42045.95</v>
      </c>
      <c r="Q75" s="119">
        <f t="shared" si="40"/>
        <v>181270.95</v>
      </c>
      <c r="R75" s="24">
        <f>N75/$N$76</f>
        <v>7.3746312684365781E-3</v>
      </c>
      <c r="S75" s="120">
        <f t="shared" si="37"/>
        <v>4</v>
      </c>
      <c r="T75" s="121">
        <f t="shared" si="51"/>
        <v>111380</v>
      </c>
      <c r="U75" s="121">
        <f t="shared" si="52"/>
        <v>33636.76</v>
      </c>
      <c r="V75" s="121">
        <f t="shared" si="53"/>
        <v>145016.76</v>
      </c>
      <c r="W75" s="122">
        <f t="shared" si="54"/>
        <v>145100</v>
      </c>
      <c r="X75" s="38">
        <f>W75+'проезд Лизе к бюджету 2018'!L75</f>
        <v>169400</v>
      </c>
      <c r="Y75" s="37" t="e">
        <f>#REF!+#REF!</f>
        <v>#REF!</v>
      </c>
      <c r="Z75" s="37" t="e">
        <f t="shared" si="28"/>
        <v>#REF!</v>
      </c>
      <c r="AA75" s="193">
        <v>111380</v>
      </c>
      <c r="AB75" s="193">
        <v>33720</v>
      </c>
      <c r="AC75" s="191">
        <f t="shared" si="41"/>
        <v>145100</v>
      </c>
      <c r="AD75" s="188">
        <f t="shared" si="55"/>
        <v>139225</v>
      </c>
      <c r="AE75" s="139"/>
      <c r="AF75" s="182">
        <f t="shared" si="56"/>
        <v>0</v>
      </c>
      <c r="AG75" s="147"/>
      <c r="AH75" s="141">
        <f t="shared" si="42"/>
        <v>139225</v>
      </c>
      <c r="AI75" s="143">
        <f t="shared" si="43"/>
        <v>27845</v>
      </c>
      <c r="AJ75" s="125">
        <f>AF75-'проезд Лизе к бюджету 2018'!B76</f>
        <v>0</v>
      </c>
      <c r="AK75" s="141">
        <f t="shared" si="44"/>
        <v>27845</v>
      </c>
      <c r="AL75" s="141">
        <f t="shared" si="45"/>
        <v>-33720</v>
      </c>
      <c r="AM75" s="141">
        <f t="shared" si="46"/>
        <v>-5875</v>
      </c>
      <c r="AN75" s="155">
        <f t="shared" si="29"/>
        <v>27900.000000000004</v>
      </c>
      <c r="AO75" s="155">
        <f t="shared" si="30"/>
        <v>-33700</v>
      </c>
      <c r="AP75" s="154">
        <f t="shared" si="31"/>
        <v>-5799.9999999999964</v>
      </c>
      <c r="AQ75" s="157"/>
    </row>
    <row r="76" spans="1:43" s="35" customFormat="1" ht="30.6" customHeight="1" x14ac:dyDescent="0.3">
      <c r="A76" s="30"/>
      <c r="B76" s="136" t="s">
        <v>91</v>
      </c>
      <c r="C76" s="31">
        <f t="shared" ref="C76:T76" si="57">SUM(C4:C75)</f>
        <v>120</v>
      </c>
      <c r="D76" s="94">
        <f>SUM(D4:D75)</f>
        <v>3824</v>
      </c>
      <c r="E76" s="94">
        <f>SUM(E4:E75)</f>
        <v>3964</v>
      </c>
      <c r="F76" s="103">
        <f t="shared" si="38"/>
        <v>140</v>
      </c>
      <c r="G76" s="32">
        <f t="shared" si="57"/>
        <v>808</v>
      </c>
      <c r="H76" s="32">
        <f>SUM(H4:H75)</f>
        <v>772</v>
      </c>
      <c r="I76" s="105">
        <f t="shared" si="39"/>
        <v>-36</v>
      </c>
      <c r="J76" s="32">
        <f t="shared" si="57"/>
        <v>793</v>
      </c>
      <c r="K76" s="100">
        <f>SUM(K4:K75)</f>
        <v>824</v>
      </c>
      <c r="L76" s="169">
        <f t="shared" si="48"/>
        <v>52</v>
      </c>
      <c r="M76" s="153">
        <f t="shared" si="57"/>
        <v>723</v>
      </c>
      <c r="N76" s="32">
        <f t="shared" si="57"/>
        <v>678</v>
      </c>
      <c r="O76" s="33">
        <f t="shared" si="57"/>
        <v>18878910</v>
      </c>
      <c r="P76" s="33">
        <f t="shared" si="57"/>
        <v>5701430.8200000003</v>
      </c>
      <c r="Q76" s="33">
        <f t="shared" si="57"/>
        <v>24580340.819999985</v>
      </c>
      <c r="R76" s="34">
        <f t="shared" si="57"/>
        <v>1</v>
      </c>
      <c r="S76" s="34">
        <f t="shared" si="57"/>
        <v>494</v>
      </c>
      <c r="T76" s="34">
        <f t="shared" si="57"/>
        <v>13755430</v>
      </c>
      <c r="U76" s="34">
        <f>SUM(U4:U75)</f>
        <v>4154139.8599999989</v>
      </c>
      <c r="V76" s="34">
        <f>SUM(V4:V75)</f>
        <v>17909569.860000003</v>
      </c>
      <c r="W76" s="34">
        <f>SUM(W4:W75)</f>
        <v>17912800</v>
      </c>
      <c r="X76" s="82">
        <f>SUM(X4:X75)</f>
        <v>21645700</v>
      </c>
      <c r="AA76" s="193">
        <f>SUM(AA4:AA75)</f>
        <v>17536943</v>
      </c>
      <c r="AB76" s="193">
        <f t="shared" ref="AB76:AI76" si="58">SUM(AB4:AB75)</f>
        <v>5296157</v>
      </c>
      <c r="AC76" s="142">
        <f t="shared" si="58"/>
        <v>22833100</v>
      </c>
      <c r="AD76" s="189">
        <f t="shared" si="58"/>
        <v>20131935</v>
      </c>
      <c r="AE76" s="151"/>
      <c r="AF76" s="152">
        <f t="shared" si="58"/>
        <v>132</v>
      </c>
      <c r="AG76" s="142">
        <f t="shared" si="58"/>
        <v>820897.14000000036</v>
      </c>
      <c r="AH76" s="142">
        <f t="shared" si="58"/>
        <v>22675454</v>
      </c>
      <c r="AI76" s="142">
        <f t="shared" si="58"/>
        <v>5138511</v>
      </c>
      <c r="AJ76" s="142">
        <f t="shared" ref="AJ76:AQ76" si="59">SUM(AJ4:AJ75)</f>
        <v>-13</v>
      </c>
      <c r="AK76" s="142">
        <f t="shared" si="59"/>
        <v>5138511</v>
      </c>
      <c r="AL76" s="142">
        <f t="shared" si="59"/>
        <v>-5296157</v>
      </c>
      <c r="AM76" s="142">
        <f t="shared" si="59"/>
        <v>-157646</v>
      </c>
      <c r="AN76" s="142">
        <f t="shared" si="59"/>
        <v>5141800</v>
      </c>
      <c r="AO76" s="142">
        <f t="shared" si="59"/>
        <v>-5292500</v>
      </c>
      <c r="AP76" s="142">
        <f t="shared" si="59"/>
        <v>-150700.00000000006</v>
      </c>
      <c r="AQ76" s="142">
        <f t="shared" si="59"/>
        <v>39099.999999999942</v>
      </c>
    </row>
    <row r="77" spans="1:43" x14ac:dyDescent="0.25">
      <c r="M77" s="38">
        <f>M76-M68-M69-M70</f>
        <v>692</v>
      </c>
      <c r="AD77" s="190">
        <f>AD76-AD68-AD69-AD70</f>
        <v>19268740</v>
      </c>
    </row>
    <row r="78" spans="1:43" x14ac:dyDescent="0.25">
      <c r="L78" s="7">
        <f>L76*K2</f>
        <v>1447940</v>
      </c>
      <c r="T78" s="123">
        <f>W76+'[1]проезд Лизе к бюджету 2018'!K79</f>
        <v>21642248.800000001</v>
      </c>
    </row>
    <row r="79" spans="1:43" x14ac:dyDescent="0.25">
      <c r="L79" s="7">
        <f>400000/K2</f>
        <v>14.365236128568863</v>
      </c>
      <c r="N79" s="36">
        <f>N76-S76</f>
        <v>184</v>
      </c>
      <c r="O79" s="118">
        <f>N79*J2*1.302</f>
        <v>6670770.96</v>
      </c>
      <c r="Q79" s="118">
        <v>18882200</v>
      </c>
      <c r="W79" s="124">
        <f>Q79-W76</f>
        <v>969400</v>
      </c>
      <c r="AF79" s="7">
        <f>AF76*1450*8</f>
        <v>1531200</v>
      </c>
      <c r="AH79" s="7">
        <v>22675454</v>
      </c>
    </row>
    <row r="81" spans="15:23" x14ac:dyDescent="0.25">
      <c r="O81" s="118">
        <f>Q79/1.302</f>
        <v>14502457.757296467</v>
      </c>
      <c r="P81" s="118">
        <f>O81*0.302</f>
        <v>4379742.2427035328</v>
      </c>
      <c r="T81" s="125">
        <f>'[1]проезд Лизе к бюджету 2018'!E79+'[1]отдых для Лизы к бюджету 2018'!D74</f>
        <v>21597800</v>
      </c>
      <c r="W81" s="125">
        <f>'[1]проезд Лизе к бюджету 2018'!L82</f>
        <v>1017300</v>
      </c>
    </row>
    <row r="82" spans="15:23" x14ac:dyDescent="0.25">
      <c r="O82" s="118">
        <f>O81/J2</f>
        <v>520.82807532039749</v>
      </c>
      <c r="V82" s="118">
        <f>W81/(J2*1.302)</f>
        <v>28.060204903212565</v>
      </c>
    </row>
    <row r="83" spans="15:23" x14ac:dyDescent="0.25">
      <c r="O83" s="118">
        <f>521-28+7</f>
        <v>500</v>
      </c>
      <c r="T83" s="123">
        <f>T81-T78</f>
        <v>-44448.800000000745</v>
      </c>
    </row>
    <row r="84" spans="15:23" x14ac:dyDescent="0.25">
      <c r="O84" s="124">
        <f>N76-O82</f>
        <v>157.17192467960251</v>
      </c>
      <c r="T84" s="118">
        <f>T83/(J2*1.302)</f>
        <v>-1.2260320807057266</v>
      </c>
    </row>
  </sheetData>
  <autoFilter ref="A3:AQ79" xr:uid="{00000000-0009-0000-0000-000006000000}"/>
  <mergeCells count="9">
    <mergeCell ref="AP1:AP3"/>
    <mergeCell ref="AN2:AO2"/>
    <mergeCell ref="AQ1:AQ3"/>
    <mergeCell ref="R1:W1"/>
    <mergeCell ref="AA2:AB2"/>
    <mergeCell ref="AA1:AB1"/>
    <mergeCell ref="AC1:AC3"/>
    <mergeCell ref="AK2:AL2"/>
    <mergeCell ref="AM1:AM3"/>
  </mergeCells>
  <conditionalFormatting sqref="AJ4:AJ75">
    <cfRule type="cellIs" dxfId="2" priority="1" operator="greaterThan">
      <formula>0</formula>
    </cfRule>
  </conditionalFormatting>
  <printOptions verticalCentered="1"/>
  <pageMargins left="0.70866141732283472" right="0.70866141732283472" top="0" bottom="0" header="0.31496062992125984" footer="0.31496062992125984"/>
  <pageSetup paperSize="9" scale="6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Q87"/>
  <sheetViews>
    <sheetView zoomScale="73" zoomScaleNormal="73" workbookViewId="0">
      <pane xSplit="2" ySplit="3" topLeftCell="AA25" activePane="bottomRight" state="frozen"/>
      <selection activeCell="B44" sqref="A44:XFD44"/>
      <selection pane="topRight" activeCell="B44" sqref="A44:XFD44"/>
      <selection pane="bottomLeft" activeCell="B44" sqref="A44:XFD44"/>
      <selection pane="bottomRight" activeCell="B44" sqref="A44:XFD44"/>
    </sheetView>
  </sheetViews>
  <sheetFormatPr defaultColWidth="8.33203125" defaultRowHeight="13.2" x14ac:dyDescent="0.25"/>
  <cols>
    <col min="1" max="1" width="3.33203125" style="21" customWidth="1"/>
    <col min="2" max="2" width="15.109375" style="129" customWidth="1"/>
    <col min="3" max="3" width="7.5546875" style="6" customWidth="1"/>
    <col min="4" max="4" width="8.5546875" style="179" hidden="1" customWidth="1"/>
    <col min="5" max="5" width="8.5546875" style="179" bestFit="1" customWidth="1"/>
    <col min="6" max="6" width="6.6640625" style="7" hidden="1" customWidth="1"/>
    <col min="7" max="7" width="0" style="179" hidden="1" customWidth="1"/>
    <col min="8" max="8" width="8.44140625" style="179" customWidth="1"/>
    <col min="9" max="9" width="6.44140625" style="7" hidden="1" customWidth="1"/>
    <col min="10" max="10" width="0" style="7" hidden="1" customWidth="1"/>
    <col min="11" max="13" width="8.33203125" style="7"/>
    <col min="14" max="14" width="11.33203125" style="8" hidden="1" customWidth="1"/>
    <col min="15" max="15" width="13.33203125" style="179" hidden="1" customWidth="1"/>
    <col min="16" max="17" width="12.33203125" style="179" hidden="1" customWidth="1"/>
    <col min="18" max="18" width="0" style="179" hidden="1" customWidth="1"/>
    <col min="19" max="19" width="7.44140625" style="179" hidden="1" customWidth="1"/>
    <col min="20" max="20" width="14" style="179" hidden="1" customWidth="1"/>
    <col min="21" max="21" width="12" style="179" hidden="1" customWidth="1"/>
    <col min="22" max="23" width="12.88671875" style="179" hidden="1" customWidth="1"/>
    <col min="24" max="24" width="10.5546875" style="7" hidden="1" customWidth="1"/>
    <col min="25" max="25" width="10.6640625" style="7" hidden="1" customWidth="1"/>
    <col min="26" max="26" width="12.33203125" style="7" hidden="1" customWidth="1"/>
    <col min="27" max="27" width="12.88671875" style="194" bestFit="1" customWidth="1"/>
    <col min="28" max="28" width="11.88671875" style="194" bestFit="1" customWidth="1"/>
    <col min="29" max="29" width="12.88671875" style="7" bestFit="1" customWidth="1"/>
    <col min="30" max="30" width="12.88671875" style="238" bestFit="1" customWidth="1"/>
    <col min="31" max="31" width="8.33203125" style="137" customWidth="1"/>
    <col min="32" max="32" width="9" style="7" bestFit="1" customWidth="1"/>
    <col min="33" max="33" width="10.44140625" style="256" customWidth="1"/>
    <col min="34" max="34" width="13.33203125" style="7" customWidth="1"/>
    <col min="35" max="35" width="11.33203125" style="7" customWidth="1"/>
    <col min="36" max="36" width="0" style="7" hidden="1" customWidth="1"/>
    <col min="37" max="37" width="12.44140625" style="7" customWidth="1"/>
    <col min="38" max="38" width="12.6640625" style="7" bestFit="1" customWidth="1"/>
    <col min="39" max="39" width="12.44140625" style="7" bestFit="1" customWidth="1"/>
    <col min="40" max="40" width="11.88671875" style="7" bestFit="1" customWidth="1"/>
    <col min="41" max="41" width="12.44140625" style="7" bestFit="1" customWidth="1"/>
    <col min="42" max="42" width="11.88671875" style="202" customWidth="1"/>
    <col min="43" max="43" width="18" style="7" customWidth="1"/>
    <col min="44" max="16384" width="8.33203125" style="7"/>
  </cols>
  <sheetData>
    <row r="1" spans="1:43" ht="13.95" customHeight="1" x14ac:dyDescent="0.3">
      <c r="A1" s="180" t="s">
        <v>78</v>
      </c>
      <c r="R1" s="594" t="s">
        <v>79</v>
      </c>
      <c r="S1" s="595"/>
      <c r="T1" s="595"/>
      <c r="U1" s="595"/>
      <c r="V1" s="595"/>
      <c r="W1" s="595"/>
      <c r="AA1" s="605" t="s">
        <v>132</v>
      </c>
      <c r="AB1" s="606"/>
      <c r="AC1" s="607" t="s">
        <v>133</v>
      </c>
      <c r="AK1" s="198"/>
      <c r="AL1" s="198"/>
      <c r="AM1" s="610" t="s">
        <v>133</v>
      </c>
      <c r="AN1" s="206" t="s">
        <v>153</v>
      </c>
      <c r="AO1" s="202"/>
      <c r="AP1" s="611" t="s">
        <v>133</v>
      </c>
      <c r="AQ1" s="590" t="s">
        <v>141</v>
      </c>
    </row>
    <row r="2" spans="1:43" s="10" customFormat="1" ht="11.4" customHeight="1" x14ac:dyDescent="0.3">
      <c r="A2" s="9"/>
      <c r="B2" s="130"/>
      <c r="C2" s="11"/>
      <c r="G2" s="10" t="s">
        <v>80</v>
      </c>
      <c r="H2" s="10" t="s">
        <v>80</v>
      </c>
      <c r="J2" s="10">
        <f>11138*2.5</f>
        <v>27845</v>
      </c>
      <c r="K2" s="10">
        <f>11138*2.5</f>
        <v>27845</v>
      </c>
      <c r="N2" s="12"/>
      <c r="P2" s="13">
        <v>0.30199999999999999</v>
      </c>
      <c r="T2" s="10">
        <v>262</v>
      </c>
      <c r="U2" s="10">
        <v>262</v>
      </c>
      <c r="V2" s="10">
        <v>262</v>
      </c>
      <c r="AA2" s="601" t="s">
        <v>129</v>
      </c>
      <c r="AB2" s="602"/>
      <c r="AC2" s="608"/>
      <c r="AD2" s="239"/>
      <c r="AE2" s="138"/>
      <c r="AG2" s="257"/>
      <c r="AK2" s="603" t="s">
        <v>139</v>
      </c>
      <c r="AL2" s="603"/>
      <c r="AM2" s="610"/>
      <c r="AN2" s="604" t="s">
        <v>139</v>
      </c>
      <c r="AO2" s="604"/>
      <c r="AP2" s="612"/>
      <c r="AQ2" s="591"/>
    </row>
    <row r="3" spans="1:43" s="10" customFormat="1" ht="61.95" customHeight="1" x14ac:dyDescent="0.3">
      <c r="A3" s="9"/>
      <c r="B3" s="131"/>
      <c r="C3" s="15" t="s">
        <v>122</v>
      </c>
      <c r="D3" s="16" t="s">
        <v>81</v>
      </c>
      <c r="E3" s="97" t="s">
        <v>123</v>
      </c>
      <c r="F3" s="102" t="s">
        <v>125</v>
      </c>
      <c r="G3" s="17" t="s">
        <v>127</v>
      </c>
      <c r="H3" s="98" t="s">
        <v>128</v>
      </c>
      <c r="I3" s="102" t="s">
        <v>125</v>
      </c>
      <c r="J3" s="17" t="s">
        <v>83</v>
      </c>
      <c r="K3" s="98" t="s">
        <v>124</v>
      </c>
      <c r="L3" s="98" t="s">
        <v>151</v>
      </c>
      <c r="M3" s="127" t="s">
        <v>126</v>
      </c>
      <c r="N3" s="18" t="s">
        <v>84</v>
      </c>
      <c r="O3" s="19" t="s">
        <v>85</v>
      </c>
      <c r="P3" s="19" t="s">
        <v>86</v>
      </c>
      <c r="Q3" s="19" t="s">
        <v>87</v>
      </c>
      <c r="R3" s="20" t="s">
        <v>88</v>
      </c>
      <c r="S3" s="20" t="s">
        <v>89</v>
      </c>
      <c r="T3" s="20" t="s">
        <v>90</v>
      </c>
      <c r="U3" s="20" t="s">
        <v>86</v>
      </c>
      <c r="V3" s="20" t="s">
        <v>91</v>
      </c>
      <c r="W3" s="20" t="s">
        <v>92</v>
      </c>
      <c r="AA3" s="248" t="s">
        <v>130</v>
      </c>
      <c r="AB3" s="241" t="s">
        <v>131</v>
      </c>
      <c r="AC3" s="609"/>
      <c r="AD3" s="244" t="s">
        <v>138</v>
      </c>
      <c r="AE3" s="150" t="s">
        <v>134</v>
      </c>
      <c r="AF3" s="145" t="s">
        <v>154</v>
      </c>
      <c r="AG3" s="258" t="s">
        <v>137</v>
      </c>
      <c r="AH3" s="149" t="s">
        <v>152</v>
      </c>
      <c r="AI3" s="148" t="s">
        <v>140</v>
      </c>
      <c r="AK3" s="199">
        <v>212</v>
      </c>
      <c r="AL3" s="199">
        <v>213</v>
      </c>
      <c r="AM3" s="610"/>
      <c r="AN3" s="203">
        <v>212</v>
      </c>
      <c r="AO3" s="203">
        <v>213</v>
      </c>
      <c r="AP3" s="613"/>
      <c r="AQ3" s="592"/>
    </row>
    <row r="4" spans="1:43" ht="14.4" x14ac:dyDescent="0.3">
      <c r="A4" s="21" t="s">
        <v>9</v>
      </c>
      <c r="B4" s="132">
        <v>13</v>
      </c>
      <c r="C4" s="95">
        <v>4</v>
      </c>
      <c r="D4" s="106">
        <v>59</v>
      </c>
      <c r="E4" s="101">
        <v>59</v>
      </c>
      <c r="F4" s="103">
        <f>E4-D4</f>
        <v>0</v>
      </c>
      <c r="G4" s="111">
        <v>10</v>
      </c>
      <c r="H4" s="104">
        <v>11</v>
      </c>
      <c r="I4" s="105">
        <f>H4-G4</f>
        <v>1</v>
      </c>
      <c r="J4" s="22">
        <f t="shared" ref="J4:K35" si="0">ROUNDUP(D4/5,0)</f>
        <v>12</v>
      </c>
      <c r="K4" s="99">
        <f>ROUNDUP(E4/5,0)</f>
        <v>12</v>
      </c>
      <c r="L4" s="169">
        <f>K4-H4</f>
        <v>1</v>
      </c>
      <c r="M4" s="126">
        <f>IF(H4&gt;K4,K4,H4)</f>
        <v>11</v>
      </c>
      <c r="N4" s="23">
        <v>10</v>
      </c>
      <c r="O4" s="119">
        <f>N4*$J$2</f>
        <v>278450</v>
      </c>
      <c r="P4" s="119">
        <f>O4*$P$2</f>
        <v>84091.9</v>
      </c>
      <c r="Q4" s="119">
        <f t="shared" ref="Q4:Q68" si="1">O4+P4</f>
        <v>362541.9</v>
      </c>
      <c r="R4" s="24">
        <f t="shared" ref="R4:R60" si="2">N4/$N$76</f>
        <v>1.4749262536873156E-2</v>
      </c>
      <c r="S4" s="120">
        <f t="shared" ref="S4:S9" si="3">ROUND(R4*$O$83,0)</f>
        <v>7</v>
      </c>
      <c r="T4" s="121">
        <f>S4*$J$2</f>
        <v>194915</v>
      </c>
      <c r="U4" s="121">
        <f>ROUND(T4*$P$2,2)</f>
        <v>58864.33</v>
      </c>
      <c r="V4" s="121">
        <f>T4+U4</f>
        <v>253779.33000000002</v>
      </c>
      <c r="W4" s="122">
        <f>IF(V4&gt;=-99,IF(V4&gt;0,ROUNDUP(V4/1000,1),0),ROUNDDOWN(V4/1000,1))*1000</f>
        <v>253799.99999999997</v>
      </c>
      <c r="X4" s="38">
        <f>W4+'проезд Лизе к бюджету 2018'!L5</f>
        <v>350699.99999999994</v>
      </c>
      <c r="Y4" s="37" t="e">
        <f>#REF!+#REF!</f>
        <v>#REF!</v>
      </c>
      <c r="Z4" s="37" t="e">
        <f>X4-Y4</f>
        <v>#REF!</v>
      </c>
      <c r="AA4" s="249">
        <v>297160</v>
      </c>
      <c r="AB4" s="242">
        <v>89840</v>
      </c>
      <c r="AC4" s="253">
        <f>AA4+AB4</f>
        <v>387000</v>
      </c>
      <c r="AD4" s="245">
        <f>$K$2*M4</f>
        <v>306295</v>
      </c>
      <c r="AE4" s="139">
        <v>5800</v>
      </c>
      <c r="AF4" s="182">
        <v>29</v>
      </c>
      <c r="AG4" s="259">
        <v>23110.799999999999</v>
      </c>
      <c r="AH4" s="141">
        <f>ROUNDUP((1450*AF4)+AD4+AG4,0)</f>
        <v>371456</v>
      </c>
      <c r="AI4" s="143">
        <f>AH4-AA4</f>
        <v>74296</v>
      </c>
      <c r="AJ4" s="125">
        <f>AF4-'проезд Лизе к бюджету 2018'!B5</f>
        <v>27</v>
      </c>
      <c r="AK4" s="200">
        <f>AI4</f>
        <v>74296</v>
      </c>
      <c r="AL4" s="200">
        <f>-AB4</f>
        <v>-89840</v>
      </c>
      <c r="AM4" s="200">
        <f>SUM(AK4:AL4)</f>
        <v>-15544</v>
      </c>
      <c r="AN4" s="204">
        <f>IF(AK4&gt;=-99,IF(AK4&gt;0,ROUNDUP(AK4/1000,1),0),ROUNDDOWN(AK4/1000,1))*1000</f>
        <v>74300</v>
      </c>
      <c r="AO4" s="204">
        <f>AL4</f>
        <v>-89840</v>
      </c>
      <c r="AP4" s="207">
        <f>SUM(AN4:AO4)</f>
        <v>-15540</v>
      </c>
      <c r="AQ4" s="154">
        <f t="shared" ref="AQ4:AQ68" si="4">AP4</f>
        <v>-15540</v>
      </c>
    </row>
    <row r="5" spans="1:43" ht="14.4" x14ac:dyDescent="0.3">
      <c r="A5" s="21" t="s">
        <v>10</v>
      </c>
      <c r="B5" s="132">
        <v>14</v>
      </c>
      <c r="C5" s="95">
        <v>0</v>
      </c>
      <c r="D5" s="106">
        <v>39</v>
      </c>
      <c r="E5" s="101">
        <v>41</v>
      </c>
      <c r="F5" s="103">
        <f t="shared" ref="F5:F68" si="5">E5-D5</f>
        <v>2</v>
      </c>
      <c r="G5" s="111">
        <v>7</v>
      </c>
      <c r="H5" s="104">
        <v>8</v>
      </c>
      <c r="I5" s="105">
        <f t="shared" ref="I5:I68" si="6">H5-G5</f>
        <v>1</v>
      </c>
      <c r="J5" s="22">
        <f t="shared" si="0"/>
        <v>8</v>
      </c>
      <c r="K5" s="99">
        <f t="shared" si="0"/>
        <v>9</v>
      </c>
      <c r="L5" s="169">
        <f t="shared" ref="L5:L69" si="7">K5-H5</f>
        <v>1</v>
      </c>
      <c r="M5" s="126">
        <f>IF(H5&gt;K5,K5,H5)</f>
        <v>8</v>
      </c>
      <c r="N5" s="25">
        <v>7</v>
      </c>
      <c r="O5" s="119">
        <f t="shared" ref="O5:O69" si="8">N5*$J$2</f>
        <v>194915</v>
      </c>
      <c r="P5" s="119">
        <f t="shared" ref="P5:P69" si="9">O5*$P$2</f>
        <v>58864.33</v>
      </c>
      <c r="Q5" s="119">
        <f t="shared" si="1"/>
        <v>253779.33000000002</v>
      </c>
      <c r="R5" s="24">
        <f t="shared" si="2"/>
        <v>1.0324483775811209E-2</v>
      </c>
      <c r="S5" s="120">
        <f t="shared" si="3"/>
        <v>5</v>
      </c>
      <c r="T5" s="121">
        <f t="shared" ref="T5:T69" si="10">S5*$J$2</f>
        <v>139225</v>
      </c>
      <c r="U5" s="121">
        <f t="shared" ref="U5:U69" si="11">ROUND(T5*$P$2,2)</f>
        <v>42045.95</v>
      </c>
      <c r="V5" s="121">
        <f t="shared" ref="V5:V69" si="12">T5+U5</f>
        <v>181270.95</v>
      </c>
      <c r="W5" s="122">
        <f t="shared" ref="W5:W69" si="13">IF(V5&gt;=-99,IF(V5&gt;0,ROUNDUP(V5/1000,1),0),ROUNDDOWN(V5/1000,1))*1000</f>
        <v>181299.99999999997</v>
      </c>
      <c r="X5" s="38">
        <f>W5+'проезд Лизе к бюджету 2018'!L6</f>
        <v>181299.99999999997</v>
      </c>
      <c r="Y5" s="37" t="e">
        <f>#REF!+#REF!</f>
        <v>#REF!</v>
      </c>
      <c r="Z5" s="37" t="e">
        <f t="shared" ref="Z5:Z15" si="14">X5-Y5</f>
        <v>#REF!</v>
      </c>
      <c r="AA5" s="249">
        <v>167070</v>
      </c>
      <c r="AB5" s="242">
        <v>50530</v>
      </c>
      <c r="AC5" s="253">
        <f t="shared" ref="AC5:AC68" si="15">AA5+AB5</f>
        <v>217600</v>
      </c>
      <c r="AD5" s="245">
        <f t="shared" ref="AD5:AD68" si="16">$K$2*M5</f>
        <v>222760</v>
      </c>
      <c r="AE5" s="139"/>
      <c r="AF5" s="140">
        <v>0</v>
      </c>
      <c r="AG5" s="259"/>
      <c r="AH5" s="141">
        <f t="shared" ref="AH5:AH68" si="17">ROUNDUP((1450*AF5)+AD5+AG5,0)</f>
        <v>222760</v>
      </c>
      <c r="AI5" s="143">
        <f t="shared" ref="AI5:AI68" si="18">AH5-AA5</f>
        <v>55690</v>
      </c>
      <c r="AJ5" s="125">
        <f>AF5-'проезд Лизе к бюджету 2018'!B6</f>
        <v>-1</v>
      </c>
      <c r="AK5" s="200">
        <f t="shared" ref="AK5:AK68" si="19">AI5</f>
        <v>55690</v>
      </c>
      <c r="AL5" s="200">
        <f t="shared" ref="AL5:AL68" si="20">-AB5</f>
        <v>-50530</v>
      </c>
      <c r="AM5" s="200">
        <f t="shared" ref="AM5:AM68" si="21">SUM(AK5:AL5)</f>
        <v>5160</v>
      </c>
      <c r="AN5" s="204">
        <f t="shared" ref="AN5:AN68" si="22">IF(AK5&gt;=-99,IF(AK5&gt;0,ROUNDUP(AK5/1000,1),0),ROUNDDOWN(AK5/1000,1))*1000</f>
        <v>55700</v>
      </c>
      <c r="AO5" s="204">
        <f t="shared" ref="AO5:AO68" si="23">AL5</f>
        <v>-50530</v>
      </c>
      <c r="AP5" s="207">
        <f t="shared" ref="AP5:AP24" si="24">SUM(AN5:AO5)</f>
        <v>5170</v>
      </c>
      <c r="AQ5" s="154">
        <f t="shared" si="4"/>
        <v>5170</v>
      </c>
    </row>
    <row r="6" spans="1:43" ht="14.4" x14ac:dyDescent="0.3">
      <c r="A6" s="21" t="s">
        <v>44</v>
      </c>
      <c r="B6" s="132">
        <v>17</v>
      </c>
      <c r="C6" s="95">
        <v>3</v>
      </c>
      <c r="D6" s="106">
        <v>85</v>
      </c>
      <c r="E6" s="101">
        <v>77</v>
      </c>
      <c r="F6" s="103">
        <f t="shared" si="5"/>
        <v>-8</v>
      </c>
      <c r="G6" s="111">
        <v>15</v>
      </c>
      <c r="H6" s="104">
        <v>15</v>
      </c>
      <c r="I6" s="105">
        <f t="shared" si="6"/>
        <v>0</v>
      </c>
      <c r="J6" s="22">
        <f t="shared" si="0"/>
        <v>17</v>
      </c>
      <c r="K6" s="99">
        <f>ROUNDUP(E6/5,0)</f>
        <v>16</v>
      </c>
      <c r="L6" s="169">
        <f t="shared" si="7"/>
        <v>1</v>
      </c>
      <c r="M6" s="126">
        <f>IF(H6&gt;K6,K6,H6)</f>
        <v>15</v>
      </c>
      <c r="N6" s="25">
        <v>15</v>
      </c>
      <c r="O6" s="119">
        <f t="shared" si="8"/>
        <v>417675</v>
      </c>
      <c r="P6" s="119">
        <f t="shared" si="9"/>
        <v>126137.84999999999</v>
      </c>
      <c r="Q6" s="119">
        <f t="shared" si="1"/>
        <v>543812.85</v>
      </c>
      <c r="R6" s="24">
        <f t="shared" si="2"/>
        <v>2.2123893805309734E-2</v>
      </c>
      <c r="S6" s="120">
        <f t="shared" si="3"/>
        <v>11</v>
      </c>
      <c r="T6" s="121">
        <f t="shared" si="10"/>
        <v>306295</v>
      </c>
      <c r="U6" s="121">
        <f t="shared" si="11"/>
        <v>92501.09</v>
      </c>
      <c r="V6" s="121">
        <f t="shared" si="12"/>
        <v>398796.08999999997</v>
      </c>
      <c r="W6" s="122">
        <f t="shared" si="13"/>
        <v>398800</v>
      </c>
      <c r="X6" s="38">
        <f>W6+'проезд Лизе к бюджету 2018'!L7</f>
        <v>544200</v>
      </c>
      <c r="Y6" s="37" t="e">
        <f>#REF!+#REF!</f>
        <v>#REF!</v>
      </c>
      <c r="Z6" s="37" t="e">
        <f t="shared" si="14"/>
        <v>#REF!</v>
      </c>
      <c r="AA6" s="249">
        <v>278670</v>
      </c>
      <c r="AB6" s="242">
        <v>84330</v>
      </c>
      <c r="AC6" s="253">
        <f t="shared" si="15"/>
        <v>363000</v>
      </c>
      <c r="AD6" s="245">
        <f t="shared" si="16"/>
        <v>417675</v>
      </c>
      <c r="AE6" s="139">
        <v>8700</v>
      </c>
      <c r="AF6" s="182">
        <v>42</v>
      </c>
      <c r="AG6" s="259">
        <v>34757</v>
      </c>
      <c r="AH6" s="141">
        <f t="shared" si="17"/>
        <v>513332</v>
      </c>
      <c r="AI6" s="143">
        <f t="shared" si="18"/>
        <v>234662</v>
      </c>
      <c r="AJ6" s="125">
        <f>AF6-'проезд Лизе к бюджету 2018'!B7</f>
        <v>37</v>
      </c>
      <c r="AK6" s="200">
        <f t="shared" si="19"/>
        <v>234662</v>
      </c>
      <c r="AL6" s="200">
        <f t="shared" si="20"/>
        <v>-84330</v>
      </c>
      <c r="AM6" s="200">
        <f t="shared" si="21"/>
        <v>150332</v>
      </c>
      <c r="AN6" s="204">
        <f t="shared" si="22"/>
        <v>234700</v>
      </c>
      <c r="AO6" s="204">
        <f t="shared" si="23"/>
        <v>-84330</v>
      </c>
      <c r="AP6" s="207">
        <f t="shared" si="24"/>
        <v>150370</v>
      </c>
      <c r="AQ6" s="154">
        <f t="shared" si="4"/>
        <v>150370</v>
      </c>
    </row>
    <row r="7" spans="1:43" ht="14.4" x14ac:dyDescent="0.3">
      <c r="A7" s="26" t="s">
        <v>6</v>
      </c>
      <c r="B7" s="132">
        <v>20</v>
      </c>
      <c r="C7" s="95">
        <v>4</v>
      </c>
      <c r="D7" s="106">
        <v>77</v>
      </c>
      <c r="E7" s="101">
        <v>78</v>
      </c>
      <c r="F7" s="103">
        <f t="shared" si="5"/>
        <v>1</v>
      </c>
      <c r="G7" s="111">
        <v>11</v>
      </c>
      <c r="H7" s="104">
        <v>10</v>
      </c>
      <c r="I7" s="105">
        <f t="shared" si="6"/>
        <v>-1</v>
      </c>
      <c r="J7" s="22">
        <f t="shared" si="0"/>
        <v>16</v>
      </c>
      <c r="K7" s="99">
        <f t="shared" si="0"/>
        <v>16</v>
      </c>
      <c r="L7" s="169">
        <f t="shared" si="7"/>
        <v>6</v>
      </c>
      <c r="M7" s="126">
        <f t="shared" ref="M7:M70" si="25">IF(H7&gt;K7,K7,H7)</f>
        <v>10</v>
      </c>
      <c r="N7" s="25">
        <v>11</v>
      </c>
      <c r="O7" s="119">
        <f t="shared" si="8"/>
        <v>306295</v>
      </c>
      <c r="P7" s="119">
        <f t="shared" si="9"/>
        <v>92501.09</v>
      </c>
      <c r="Q7" s="119">
        <f t="shared" si="1"/>
        <v>398796.08999999997</v>
      </c>
      <c r="R7" s="24">
        <f t="shared" si="2"/>
        <v>1.6224188790560472E-2</v>
      </c>
      <c r="S7" s="120">
        <f t="shared" si="3"/>
        <v>8</v>
      </c>
      <c r="T7" s="121">
        <f t="shared" si="10"/>
        <v>222760</v>
      </c>
      <c r="U7" s="121">
        <f t="shared" si="11"/>
        <v>67273.52</v>
      </c>
      <c r="V7" s="121">
        <f t="shared" si="12"/>
        <v>290033.52</v>
      </c>
      <c r="W7" s="122">
        <f t="shared" si="13"/>
        <v>290100</v>
      </c>
      <c r="X7" s="38">
        <f>W7+'проезд Лизе к бюджету 2018'!L8</f>
        <v>387000</v>
      </c>
      <c r="Y7" s="37" t="e">
        <f>#REF!+#REF!</f>
        <v>#REF!</v>
      </c>
      <c r="Z7" s="37" t="e">
        <f t="shared" si="14"/>
        <v>#REF!</v>
      </c>
      <c r="AA7" s="249">
        <v>297160</v>
      </c>
      <c r="AB7" s="242">
        <v>89840</v>
      </c>
      <c r="AC7" s="253">
        <f t="shared" si="15"/>
        <v>387000</v>
      </c>
      <c r="AD7" s="245">
        <f t="shared" si="16"/>
        <v>278450</v>
      </c>
      <c r="AE7" s="139">
        <v>5800</v>
      </c>
      <c r="AF7" s="140">
        <v>32</v>
      </c>
      <c r="AG7" s="259">
        <v>23064.1</v>
      </c>
      <c r="AH7" s="141">
        <f t="shared" si="17"/>
        <v>347915</v>
      </c>
      <c r="AI7" s="143">
        <f t="shared" si="18"/>
        <v>50755</v>
      </c>
      <c r="AJ7" s="125">
        <f>AF7-'проезд Лизе к бюджету 2018'!B8</f>
        <v>28</v>
      </c>
      <c r="AK7" s="200">
        <f t="shared" si="19"/>
        <v>50755</v>
      </c>
      <c r="AL7" s="200">
        <f t="shared" si="20"/>
        <v>-89840</v>
      </c>
      <c r="AM7" s="200">
        <f t="shared" si="21"/>
        <v>-39085</v>
      </c>
      <c r="AN7" s="204">
        <f t="shared" si="22"/>
        <v>50800.000000000007</v>
      </c>
      <c r="AO7" s="204">
        <f t="shared" si="23"/>
        <v>-89840</v>
      </c>
      <c r="AP7" s="207">
        <f t="shared" si="24"/>
        <v>-39039.999999999993</v>
      </c>
      <c r="AQ7" s="154">
        <f t="shared" si="4"/>
        <v>-39039.999999999993</v>
      </c>
    </row>
    <row r="8" spans="1:43" ht="14.4" x14ac:dyDescent="0.3">
      <c r="A8" s="21" t="s">
        <v>45</v>
      </c>
      <c r="B8" s="132">
        <v>23</v>
      </c>
      <c r="C8" s="95">
        <v>0</v>
      </c>
      <c r="D8" s="106">
        <v>71</v>
      </c>
      <c r="E8" s="101">
        <v>71</v>
      </c>
      <c r="F8" s="103">
        <f t="shared" si="5"/>
        <v>0</v>
      </c>
      <c r="G8" s="111">
        <v>12</v>
      </c>
      <c r="H8" s="104">
        <v>13</v>
      </c>
      <c r="I8" s="105">
        <f t="shared" si="6"/>
        <v>1</v>
      </c>
      <c r="J8" s="22">
        <f t="shared" si="0"/>
        <v>15</v>
      </c>
      <c r="K8" s="99">
        <f t="shared" si="0"/>
        <v>15</v>
      </c>
      <c r="L8" s="169">
        <f t="shared" si="7"/>
        <v>2</v>
      </c>
      <c r="M8" s="126">
        <f t="shared" si="25"/>
        <v>13</v>
      </c>
      <c r="N8" s="25">
        <v>12</v>
      </c>
      <c r="O8" s="119">
        <f t="shared" si="8"/>
        <v>334140</v>
      </c>
      <c r="P8" s="119">
        <f t="shared" si="9"/>
        <v>100910.28</v>
      </c>
      <c r="Q8" s="119">
        <f t="shared" si="1"/>
        <v>435050.28</v>
      </c>
      <c r="R8" s="24">
        <f t="shared" si="2"/>
        <v>1.7699115044247787E-2</v>
      </c>
      <c r="S8" s="120">
        <f t="shared" si="3"/>
        <v>9</v>
      </c>
      <c r="T8" s="121">
        <f t="shared" si="10"/>
        <v>250605</v>
      </c>
      <c r="U8" s="121">
        <f t="shared" si="11"/>
        <v>75682.710000000006</v>
      </c>
      <c r="V8" s="121">
        <f t="shared" si="12"/>
        <v>326287.71000000002</v>
      </c>
      <c r="W8" s="122">
        <f t="shared" si="13"/>
        <v>326300</v>
      </c>
      <c r="X8" s="38">
        <f>W8+'проезд Лизе к бюджету 2018'!L9</f>
        <v>399000</v>
      </c>
      <c r="Y8" s="37" t="e">
        <f>#REF!+#REF!</f>
        <v>#REF!</v>
      </c>
      <c r="Z8" s="37" t="e">
        <f t="shared" si="14"/>
        <v>#REF!</v>
      </c>
      <c r="AA8" s="249">
        <v>306405</v>
      </c>
      <c r="AB8" s="242">
        <v>92695</v>
      </c>
      <c r="AC8" s="253">
        <f t="shared" si="15"/>
        <v>399100</v>
      </c>
      <c r="AD8" s="245">
        <f t="shared" si="16"/>
        <v>361985</v>
      </c>
      <c r="AE8" s="139">
        <v>2900</v>
      </c>
      <c r="AF8" s="140">
        <v>25</v>
      </c>
      <c r="AG8" s="259">
        <v>11491.6</v>
      </c>
      <c r="AH8" s="141">
        <f t="shared" si="17"/>
        <v>409727</v>
      </c>
      <c r="AI8" s="143">
        <f t="shared" si="18"/>
        <v>103322</v>
      </c>
      <c r="AJ8" s="125">
        <f>AF8-'проезд Лизе к бюджету 2018'!B9</f>
        <v>21</v>
      </c>
      <c r="AK8" s="200">
        <f t="shared" si="19"/>
        <v>103322</v>
      </c>
      <c r="AL8" s="200">
        <f t="shared" si="20"/>
        <v>-92695</v>
      </c>
      <c r="AM8" s="200">
        <f t="shared" si="21"/>
        <v>10627</v>
      </c>
      <c r="AN8" s="204">
        <f t="shared" si="22"/>
        <v>103399.99999999999</v>
      </c>
      <c r="AO8" s="204">
        <f t="shared" si="23"/>
        <v>-92695</v>
      </c>
      <c r="AP8" s="207">
        <f t="shared" si="24"/>
        <v>10704.999999999985</v>
      </c>
      <c r="AQ8" s="154">
        <f t="shared" si="4"/>
        <v>10704.999999999985</v>
      </c>
    </row>
    <row r="9" spans="1:43" ht="14.4" x14ac:dyDescent="0.3">
      <c r="A9" s="21" t="s">
        <v>11</v>
      </c>
      <c r="B9" s="132">
        <v>26</v>
      </c>
      <c r="C9" s="95">
        <v>2</v>
      </c>
      <c r="D9" s="106">
        <v>63</v>
      </c>
      <c r="E9" s="101">
        <v>63</v>
      </c>
      <c r="F9" s="103">
        <f t="shared" si="5"/>
        <v>0</v>
      </c>
      <c r="G9" s="111">
        <v>15</v>
      </c>
      <c r="H9" s="104">
        <v>13</v>
      </c>
      <c r="I9" s="105">
        <f t="shared" si="6"/>
        <v>-2</v>
      </c>
      <c r="J9" s="22">
        <f t="shared" si="0"/>
        <v>13</v>
      </c>
      <c r="K9" s="99">
        <f t="shared" si="0"/>
        <v>13</v>
      </c>
      <c r="L9" s="169">
        <f t="shared" si="7"/>
        <v>0</v>
      </c>
      <c r="M9" s="126">
        <f t="shared" si="25"/>
        <v>13</v>
      </c>
      <c r="N9" s="25">
        <v>13</v>
      </c>
      <c r="O9" s="119">
        <f t="shared" si="8"/>
        <v>361985</v>
      </c>
      <c r="P9" s="119">
        <f t="shared" si="9"/>
        <v>109319.47</v>
      </c>
      <c r="Q9" s="119">
        <f t="shared" si="1"/>
        <v>471304.47</v>
      </c>
      <c r="R9" s="24">
        <f t="shared" si="2"/>
        <v>1.9174041297935103E-2</v>
      </c>
      <c r="S9" s="120">
        <f t="shared" si="3"/>
        <v>10</v>
      </c>
      <c r="T9" s="121">
        <f t="shared" si="10"/>
        <v>278450</v>
      </c>
      <c r="U9" s="121">
        <f t="shared" si="11"/>
        <v>84091.9</v>
      </c>
      <c r="V9" s="121">
        <f t="shared" si="12"/>
        <v>362541.9</v>
      </c>
      <c r="W9" s="122">
        <f t="shared" si="13"/>
        <v>362600</v>
      </c>
      <c r="X9" s="38">
        <f>W9+'проезд Лизе к бюджету 2018'!L10</f>
        <v>386900</v>
      </c>
      <c r="Y9" s="37" t="e">
        <f>#REF!+#REF!</f>
        <v>#REF!</v>
      </c>
      <c r="Z9" s="37" t="e">
        <f t="shared" si="14"/>
        <v>#REF!</v>
      </c>
      <c r="AA9" s="249">
        <v>297050</v>
      </c>
      <c r="AB9" s="242">
        <v>89850</v>
      </c>
      <c r="AC9" s="253">
        <f t="shared" si="15"/>
        <v>386900</v>
      </c>
      <c r="AD9" s="245">
        <f t="shared" si="16"/>
        <v>361985</v>
      </c>
      <c r="AE9" s="139">
        <v>1450</v>
      </c>
      <c r="AF9" s="182">
        <v>8</v>
      </c>
      <c r="AG9" s="259">
        <v>5658.7</v>
      </c>
      <c r="AH9" s="141">
        <f t="shared" si="17"/>
        <v>379244</v>
      </c>
      <c r="AI9" s="143">
        <f t="shared" si="18"/>
        <v>82194</v>
      </c>
      <c r="AJ9" s="125">
        <f>AF9-'проезд Лизе к бюджету 2018'!B10</f>
        <v>4</v>
      </c>
      <c r="AK9" s="200">
        <f t="shared" si="19"/>
        <v>82194</v>
      </c>
      <c r="AL9" s="200">
        <f t="shared" si="20"/>
        <v>-89850</v>
      </c>
      <c r="AM9" s="200">
        <f t="shared" si="21"/>
        <v>-7656</v>
      </c>
      <c r="AN9" s="204">
        <f t="shared" si="22"/>
        <v>82199.999999999985</v>
      </c>
      <c r="AO9" s="204">
        <f t="shared" si="23"/>
        <v>-89850</v>
      </c>
      <c r="AP9" s="207">
        <f t="shared" si="24"/>
        <v>-7650.0000000000146</v>
      </c>
      <c r="AQ9" s="154">
        <f t="shared" si="4"/>
        <v>-7650.0000000000146</v>
      </c>
    </row>
    <row r="10" spans="1:43" ht="14.4" x14ac:dyDescent="0.3">
      <c r="A10" s="21" t="s">
        <v>46</v>
      </c>
      <c r="B10" s="132">
        <v>34</v>
      </c>
      <c r="C10" s="95">
        <v>1</v>
      </c>
      <c r="D10" s="106">
        <v>87</v>
      </c>
      <c r="E10" s="101">
        <v>84</v>
      </c>
      <c r="F10" s="103">
        <f t="shared" si="5"/>
        <v>-3</v>
      </c>
      <c r="G10" s="111">
        <v>17</v>
      </c>
      <c r="H10" s="104">
        <v>17</v>
      </c>
      <c r="I10" s="105">
        <f t="shared" si="6"/>
        <v>0</v>
      </c>
      <c r="J10" s="22">
        <f t="shared" si="0"/>
        <v>18</v>
      </c>
      <c r="K10" s="99">
        <f t="shared" si="0"/>
        <v>17</v>
      </c>
      <c r="L10" s="169">
        <f t="shared" si="7"/>
        <v>0</v>
      </c>
      <c r="M10" s="126">
        <f t="shared" si="25"/>
        <v>17</v>
      </c>
      <c r="N10" s="25">
        <v>17</v>
      </c>
      <c r="O10" s="119">
        <f t="shared" si="8"/>
        <v>473365</v>
      </c>
      <c r="P10" s="119">
        <f t="shared" si="9"/>
        <v>142956.22999999998</v>
      </c>
      <c r="Q10" s="119">
        <f t="shared" si="1"/>
        <v>616321.23</v>
      </c>
      <c r="R10" s="24">
        <f t="shared" si="2"/>
        <v>2.5073746312684365E-2</v>
      </c>
      <c r="S10" s="120">
        <f>ROUND(R10*$O$83,0)-1</f>
        <v>12</v>
      </c>
      <c r="T10" s="121">
        <f t="shared" si="10"/>
        <v>334140</v>
      </c>
      <c r="U10" s="121">
        <f t="shared" si="11"/>
        <v>100910.28</v>
      </c>
      <c r="V10" s="121">
        <f t="shared" si="12"/>
        <v>435050.28</v>
      </c>
      <c r="W10" s="122">
        <f t="shared" si="13"/>
        <v>435100</v>
      </c>
      <c r="X10" s="38">
        <f>W10+'проезд Лизе к бюджету 2018'!L11</f>
        <v>483600</v>
      </c>
      <c r="Y10" s="37" t="e">
        <f>#REF!+#REF!</f>
        <v>#REF!</v>
      </c>
      <c r="Z10" s="37" t="e">
        <f t="shared" si="14"/>
        <v>#REF!</v>
      </c>
      <c r="AA10" s="249">
        <v>399185</v>
      </c>
      <c r="AB10" s="242">
        <v>120715</v>
      </c>
      <c r="AC10" s="253">
        <f>AA10+AB10</f>
        <v>519900</v>
      </c>
      <c r="AD10" s="245">
        <f t="shared" si="16"/>
        <v>473365</v>
      </c>
      <c r="AE10" s="139">
        <v>2900</v>
      </c>
      <c r="AF10" s="182">
        <v>14</v>
      </c>
      <c r="AG10" s="259">
        <v>11525.8</v>
      </c>
      <c r="AH10" s="141">
        <f t="shared" si="17"/>
        <v>505191</v>
      </c>
      <c r="AI10" s="143">
        <f>AH10-AA10</f>
        <v>106006</v>
      </c>
      <c r="AJ10" s="125">
        <f>AF10-'проезд Лизе к бюджету 2018'!B11</f>
        <v>12</v>
      </c>
      <c r="AK10" s="200">
        <f t="shared" si="19"/>
        <v>106006</v>
      </c>
      <c r="AL10" s="200">
        <f t="shared" si="20"/>
        <v>-120715</v>
      </c>
      <c r="AM10" s="200">
        <f t="shared" si="21"/>
        <v>-14709</v>
      </c>
      <c r="AN10" s="204">
        <f t="shared" si="22"/>
        <v>106100</v>
      </c>
      <c r="AO10" s="204">
        <f t="shared" si="23"/>
        <v>-120715</v>
      </c>
      <c r="AP10" s="207">
        <f t="shared" si="24"/>
        <v>-14615</v>
      </c>
      <c r="AQ10" s="154">
        <f t="shared" si="4"/>
        <v>-14615</v>
      </c>
    </row>
    <row r="11" spans="1:43" ht="14.4" x14ac:dyDescent="0.3">
      <c r="A11" s="21" t="s">
        <v>24</v>
      </c>
      <c r="B11" s="132">
        <v>39</v>
      </c>
      <c r="C11" s="95">
        <v>1</v>
      </c>
      <c r="D11" s="106">
        <v>45</v>
      </c>
      <c r="E11" s="101">
        <v>45</v>
      </c>
      <c r="F11" s="103">
        <f t="shared" si="5"/>
        <v>0</v>
      </c>
      <c r="G11" s="111">
        <v>8</v>
      </c>
      <c r="H11" s="104">
        <v>8</v>
      </c>
      <c r="I11" s="105">
        <f t="shared" si="6"/>
        <v>0</v>
      </c>
      <c r="J11" s="22">
        <f t="shared" si="0"/>
        <v>9</v>
      </c>
      <c r="K11" s="99">
        <f t="shared" si="0"/>
        <v>9</v>
      </c>
      <c r="L11" s="169">
        <f t="shared" si="7"/>
        <v>1</v>
      </c>
      <c r="M11" s="126">
        <f t="shared" si="25"/>
        <v>8</v>
      </c>
      <c r="N11" s="27">
        <v>8</v>
      </c>
      <c r="O11" s="119">
        <f>N11*$J$2</f>
        <v>222760</v>
      </c>
      <c r="P11" s="119">
        <f t="shared" si="9"/>
        <v>67273.52</v>
      </c>
      <c r="Q11" s="119">
        <f t="shared" si="1"/>
        <v>290033.52</v>
      </c>
      <c r="R11" s="24">
        <f t="shared" si="2"/>
        <v>1.1799410029498525E-2</v>
      </c>
      <c r="S11" s="120">
        <f t="shared" ref="S11:S30" si="26">ROUND(R11*$O$83,0)</f>
        <v>6</v>
      </c>
      <c r="T11" s="121">
        <f t="shared" si="10"/>
        <v>167070</v>
      </c>
      <c r="U11" s="121">
        <f t="shared" si="11"/>
        <v>50455.14</v>
      </c>
      <c r="V11" s="121">
        <f t="shared" si="12"/>
        <v>217525.14</v>
      </c>
      <c r="W11" s="122">
        <f t="shared" si="13"/>
        <v>217600</v>
      </c>
      <c r="X11" s="38">
        <f>W11+'проезд Лизе к бюджету 2018'!L12</f>
        <v>314500</v>
      </c>
      <c r="Y11" s="37" t="e">
        <f>#REF!+#REF!</f>
        <v>#REF!</v>
      </c>
      <c r="Z11" s="37" t="e">
        <f t="shared" si="14"/>
        <v>#REF!</v>
      </c>
      <c r="AA11" s="249">
        <v>269315</v>
      </c>
      <c r="AB11" s="242">
        <v>81485</v>
      </c>
      <c r="AC11" s="253">
        <f t="shared" si="15"/>
        <v>350800</v>
      </c>
      <c r="AD11" s="245">
        <f t="shared" si="16"/>
        <v>222760</v>
      </c>
      <c r="AE11" s="139">
        <v>4350</v>
      </c>
      <c r="AF11" s="182">
        <v>14</v>
      </c>
      <c r="AG11" s="259">
        <v>17304.099999999999</v>
      </c>
      <c r="AH11" s="141">
        <f t="shared" si="17"/>
        <v>260365</v>
      </c>
      <c r="AI11" s="143">
        <f t="shared" si="18"/>
        <v>-8950</v>
      </c>
      <c r="AJ11" s="125">
        <f>AF11-'проезд Лизе к бюджету 2018'!B12</f>
        <v>10</v>
      </c>
      <c r="AK11" s="200">
        <f t="shared" si="19"/>
        <v>-8950</v>
      </c>
      <c r="AL11" s="200">
        <f t="shared" si="20"/>
        <v>-81485</v>
      </c>
      <c r="AM11" s="200">
        <f t="shared" si="21"/>
        <v>-90435</v>
      </c>
      <c r="AN11" s="204">
        <f t="shared" si="22"/>
        <v>-8900</v>
      </c>
      <c r="AO11" s="204">
        <f t="shared" si="23"/>
        <v>-81485</v>
      </c>
      <c r="AP11" s="207">
        <f t="shared" si="24"/>
        <v>-90385</v>
      </c>
      <c r="AQ11" s="154">
        <f t="shared" si="4"/>
        <v>-90385</v>
      </c>
    </row>
    <row r="12" spans="1:43" ht="14.4" x14ac:dyDescent="0.3">
      <c r="A12" s="21" t="s">
        <v>43</v>
      </c>
      <c r="B12" s="132">
        <v>268</v>
      </c>
      <c r="C12" s="95">
        <v>0</v>
      </c>
      <c r="D12" s="106">
        <v>52</v>
      </c>
      <c r="E12" s="101">
        <v>50</v>
      </c>
      <c r="F12" s="103">
        <f t="shared" si="5"/>
        <v>-2</v>
      </c>
      <c r="G12" s="111">
        <v>11</v>
      </c>
      <c r="H12" s="104">
        <v>9</v>
      </c>
      <c r="I12" s="105">
        <f t="shared" si="6"/>
        <v>-2</v>
      </c>
      <c r="J12" s="22">
        <f t="shared" si="0"/>
        <v>11</v>
      </c>
      <c r="K12" s="99">
        <f t="shared" si="0"/>
        <v>10</v>
      </c>
      <c r="L12" s="169">
        <f t="shared" si="7"/>
        <v>1</v>
      </c>
      <c r="M12" s="126">
        <f t="shared" si="25"/>
        <v>9</v>
      </c>
      <c r="N12" s="27">
        <v>11</v>
      </c>
      <c r="O12" s="119">
        <f t="shared" si="8"/>
        <v>306295</v>
      </c>
      <c r="P12" s="119">
        <f t="shared" si="9"/>
        <v>92501.09</v>
      </c>
      <c r="Q12" s="119">
        <f t="shared" si="1"/>
        <v>398796.08999999997</v>
      </c>
      <c r="R12" s="24">
        <f t="shared" si="2"/>
        <v>1.6224188790560472E-2</v>
      </c>
      <c r="S12" s="120">
        <f t="shared" si="26"/>
        <v>8</v>
      </c>
      <c r="T12" s="121">
        <f t="shared" si="10"/>
        <v>222760</v>
      </c>
      <c r="U12" s="121">
        <f t="shared" si="11"/>
        <v>67273.52</v>
      </c>
      <c r="V12" s="121">
        <f t="shared" si="12"/>
        <v>290033.52</v>
      </c>
      <c r="W12" s="122">
        <f t="shared" si="13"/>
        <v>290100</v>
      </c>
      <c r="X12" s="38">
        <f>W12+'проезд Лизе к бюджету 2018'!L13</f>
        <v>314400</v>
      </c>
      <c r="Y12" s="37" t="e">
        <f>#REF!+#REF!</f>
        <v>#REF!</v>
      </c>
      <c r="Z12" s="37" t="e">
        <f t="shared" si="14"/>
        <v>#REF!</v>
      </c>
      <c r="AA12" s="249">
        <v>269205</v>
      </c>
      <c r="AB12" s="242">
        <v>81495</v>
      </c>
      <c r="AC12" s="253">
        <f t="shared" si="15"/>
        <v>350700</v>
      </c>
      <c r="AD12" s="245">
        <f t="shared" si="16"/>
        <v>250605</v>
      </c>
      <c r="AE12" s="139">
        <v>1450</v>
      </c>
      <c r="AF12" s="140">
        <v>8</v>
      </c>
      <c r="AG12" s="259">
        <v>5735.8</v>
      </c>
      <c r="AH12" s="141">
        <f t="shared" si="17"/>
        <v>267941</v>
      </c>
      <c r="AI12" s="143">
        <f t="shared" si="18"/>
        <v>-1264</v>
      </c>
      <c r="AJ12" s="125">
        <f>AF12-'проезд Лизе к бюджету 2018'!B13</f>
        <v>6</v>
      </c>
      <c r="AK12" s="200">
        <f t="shared" si="19"/>
        <v>-1264</v>
      </c>
      <c r="AL12" s="200">
        <f t="shared" si="20"/>
        <v>-81495</v>
      </c>
      <c r="AM12" s="200">
        <f t="shared" si="21"/>
        <v>-82759</v>
      </c>
      <c r="AN12" s="204">
        <f t="shared" si="22"/>
        <v>-1200</v>
      </c>
      <c r="AO12" s="204">
        <f t="shared" si="23"/>
        <v>-81495</v>
      </c>
      <c r="AP12" s="207">
        <f t="shared" si="24"/>
        <v>-82695</v>
      </c>
      <c r="AQ12" s="154">
        <f t="shared" si="4"/>
        <v>-82695</v>
      </c>
    </row>
    <row r="13" spans="1:43" ht="14.4" x14ac:dyDescent="0.3">
      <c r="A13" s="21" t="s">
        <v>5</v>
      </c>
      <c r="B13" s="132">
        <v>323</v>
      </c>
      <c r="C13" s="95">
        <v>3</v>
      </c>
      <c r="D13" s="106">
        <v>59</v>
      </c>
      <c r="E13" s="101">
        <v>59</v>
      </c>
      <c r="F13" s="103">
        <f t="shared" si="5"/>
        <v>0</v>
      </c>
      <c r="G13" s="111">
        <v>16</v>
      </c>
      <c r="H13" s="104">
        <v>17</v>
      </c>
      <c r="I13" s="105">
        <f t="shared" si="6"/>
        <v>1</v>
      </c>
      <c r="J13" s="22">
        <f t="shared" si="0"/>
        <v>12</v>
      </c>
      <c r="K13" s="170">
        <f t="shared" si="0"/>
        <v>12</v>
      </c>
      <c r="L13" s="169">
        <f t="shared" si="7"/>
        <v>-5</v>
      </c>
      <c r="M13" s="126">
        <f t="shared" si="25"/>
        <v>12</v>
      </c>
      <c r="N13" s="27">
        <v>12</v>
      </c>
      <c r="O13" s="119">
        <f t="shared" si="8"/>
        <v>334140</v>
      </c>
      <c r="P13" s="119">
        <f t="shared" si="9"/>
        <v>100910.28</v>
      </c>
      <c r="Q13" s="119">
        <f t="shared" si="1"/>
        <v>435050.28</v>
      </c>
      <c r="R13" s="24">
        <f t="shared" si="2"/>
        <v>1.7699115044247787E-2</v>
      </c>
      <c r="S13" s="120">
        <f t="shared" si="26"/>
        <v>9</v>
      </c>
      <c r="T13" s="121">
        <f t="shared" si="10"/>
        <v>250605</v>
      </c>
      <c r="U13" s="121">
        <f t="shared" si="11"/>
        <v>75682.710000000006</v>
      </c>
      <c r="V13" s="121">
        <f t="shared" si="12"/>
        <v>326287.71000000002</v>
      </c>
      <c r="W13" s="122">
        <f t="shared" si="13"/>
        <v>326300</v>
      </c>
      <c r="X13" s="38">
        <f>W13+'проезд Лизе к бюджету 2018'!L14</f>
        <v>399000</v>
      </c>
      <c r="Y13" s="37" t="e">
        <f>#REF!+#REF!</f>
        <v>#REF!</v>
      </c>
      <c r="Z13" s="37" t="e">
        <f t="shared" si="14"/>
        <v>#REF!</v>
      </c>
      <c r="AA13" s="249">
        <v>306405</v>
      </c>
      <c r="AB13" s="242">
        <v>91695</v>
      </c>
      <c r="AC13" s="253">
        <f t="shared" si="15"/>
        <v>398100</v>
      </c>
      <c r="AD13" s="245">
        <f t="shared" si="16"/>
        <v>334140</v>
      </c>
      <c r="AE13" s="139">
        <v>2900</v>
      </c>
      <c r="AF13" s="196">
        <f>2*8</f>
        <v>16</v>
      </c>
      <c r="AG13" s="259">
        <v>8700</v>
      </c>
      <c r="AH13" s="141">
        <f t="shared" si="17"/>
        <v>366040</v>
      </c>
      <c r="AI13" s="143">
        <f t="shared" si="18"/>
        <v>59635</v>
      </c>
      <c r="AJ13" s="125">
        <f>AF13-'проезд Лизе к бюджету 2018'!B14</f>
        <v>14</v>
      </c>
      <c r="AK13" s="200">
        <f t="shared" si="19"/>
        <v>59635</v>
      </c>
      <c r="AL13" s="200">
        <f t="shared" si="20"/>
        <v>-91695</v>
      </c>
      <c r="AM13" s="200">
        <f t="shared" si="21"/>
        <v>-32060</v>
      </c>
      <c r="AN13" s="204">
        <f t="shared" si="22"/>
        <v>59700</v>
      </c>
      <c r="AO13" s="204">
        <f t="shared" si="23"/>
        <v>-91695</v>
      </c>
      <c r="AP13" s="207">
        <f t="shared" si="24"/>
        <v>-31995</v>
      </c>
      <c r="AQ13" s="154">
        <f t="shared" si="4"/>
        <v>-31995</v>
      </c>
    </row>
    <row r="14" spans="1:43" ht="14.4" x14ac:dyDescent="0.3">
      <c r="A14" s="21" t="s">
        <v>39</v>
      </c>
      <c r="B14" s="132">
        <v>326</v>
      </c>
      <c r="C14" s="95">
        <v>0</v>
      </c>
      <c r="D14" s="106">
        <v>39</v>
      </c>
      <c r="E14" s="101">
        <v>39</v>
      </c>
      <c r="F14" s="103">
        <f t="shared" si="5"/>
        <v>0</v>
      </c>
      <c r="G14" s="111">
        <v>9</v>
      </c>
      <c r="H14" s="104">
        <v>3</v>
      </c>
      <c r="I14" s="105">
        <f t="shared" si="6"/>
        <v>-6</v>
      </c>
      <c r="J14" s="22">
        <f t="shared" si="0"/>
        <v>8</v>
      </c>
      <c r="K14" s="99">
        <f t="shared" si="0"/>
        <v>8</v>
      </c>
      <c r="L14" s="169">
        <f t="shared" si="7"/>
        <v>5</v>
      </c>
      <c r="M14" s="126">
        <f t="shared" si="25"/>
        <v>3</v>
      </c>
      <c r="N14" s="27">
        <v>8</v>
      </c>
      <c r="O14" s="119">
        <f t="shared" si="8"/>
        <v>222760</v>
      </c>
      <c r="P14" s="119">
        <f t="shared" si="9"/>
        <v>67273.52</v>
      </c>
      <c r="Q14" s="119">
        <f t="shared" si="1"/>
        <v>290033.52</v>
      </c>
      <c r="R14" s="24">
        <f t="shared" si="2"/>
        <v>1.1799410029498525E-2</v>
      </c>
      <c r="S14" s="120">
        <f t="shared" si="26"/>
        <v>6</v>
      </c>
      <c r="T14" s="121">
        <f t="shared" si="10"/>
        <v>167070</v>
      </c>
      <c r="U14" s="121">
        <f t="shared" si="11"/>
        <v>50455.14</v>
      </c>
      <c r="V14" s="121">
        <f t="shared" si="12"/>
        <v>217525.14</v>
      </c>
      <c r="W14" s="122">
        <f t="shared" si="13"/>
        <v>217600</v>
      </c>
      <c r="X14" s="38">
        <f>W14+'проезд Лизе к бюджету 2018'!L15</f>
        <v>217600</v>
      </c>
      <c r="Y14" s="37" t="e">
        <f>#REF!+#REF!</f>
        <v>#REF!</v>
      </c>
      <c r="Z14" s="37" t="e">
        <f t="shared" si="14"/>
        <v>#REF!</v>
      </c>
      <c r="AA14" s="249">
        <v>55690</v>
      </c>
      <c r="AB14" s="242">
        <v>16910</v>
      </c>
      <c r="AC14" s="253">
        <f t="shared" si="15"/>
        <v>72600</v>
      </c>
      <c r="AD14" s="245">
        <f t="shared" si="16"/>
        <v>83535</v>
      </c>
      <c r="AE14" s="139"/>
      <c r="AF14" s="182">
        <v>0</v>
      </c>
      <c r="AG14" s="259"/>
      <c r="AH14" s="141">
        <f t="shared" si="17"/>
        <v>83535</v>
      </c>
      <c r="AI14" s="143">
        <f t="shared" si="18"/>
        <v>27845</v>
      </c>
      <c r="AJ14" s="125">
        <f>AF14-'проезд Лизе к бюджету 2018'!B15</f>
        <v>0</v>
      </c>
      <c r="AK14" s="200">
        <f t="shared" si="19"/>
        <v>27845</v>
      </c>
      <c r="AL14" s="200">
        <f t="shared" si="20"/>
        <v>-16910</v>
      </c>
      <c r="AM14" s="200">
        <f t="shared" si="21"/>
        <v>10935</v>
      </c>
      <c r="AN14" s="204">
        <f t="shared" si="22"/>
        <v>27900.000000000004</v>
      </c>
      <c r="AO14" s="204">
        <f t="shared" si="23"/>
        <v>-16910</v>
      </c>
      <c r="AP14" s="207">
        <f t="shared" si="24"/>
        <v>10990.000000000004</v>
      </c>
      <c r="AQ14" s="154">
        <f t="shared" si="4"/>
        <v>10990.000000000004</v>
      </c>
    </row>
    <row r="15" spans="1:43" ht="14.4" x14ac:dyDescent="0.3">
      <c r="A15" s="21" t="s">
        <v>12</v>
      </c>
      <c r="B15" s="132">
        <v>327</v>
      </c>
      <c r="C15" s="95">
        <v>0</v>
      </c>
      <c r="D15" s="106">
        <v>62</v>
      </c>
      <c r="E15" s="101">
        <v>68</v>
      </c>
      <c r="F15" s="103">
        <f t="shared" si="5"/>
        <v>6</v>
      </c>
      <c r="G15" s="111">
        <v>8</v>
      </c>
      <c r="H15" s="104">
        <v>12</v>
      </c>
      <c r="I15" s="105">
        <f t="shared" si="6"/>
        <v>4</v>
      </c>
      <c r="J15" s="22">
        <f t="shared" si="0"/>
        <v>13</v>
      </c>
      <c r="K15" s="99">
        <f t="shared" si="0"/>
        <v>14</v>
      </c>
      <c r="L15" s="169">
        <f t="shared" si="7"/>
        <v>2</v>
      </c>
      <c r="M15" s="126">
        <f t="shared" si="25"/>
        <v>12</v>
      </c>
      <c r="N15" s="25">
        <v>8</v>
      </c>
      <c r="O15" s="119">
        <f t="shared" si="8"/>
        <v>222760</v>
      </c>
      <c r="P15" s="119">
        <f t="shared" si="9"/>
        <v>67273.52</v>
      </c>
      <c r="Q15" s="119">
        <f t="shared" si="1"/>
        <v>290033.52</v>
      </c>
      <c r="R15" s="24">
        <f t="shared" si="2"/>
        <v>1.1799410029498525E-2</v>
      </c>
      <c r="S15" s="120">
        <f t="shared" si="26"/>
        <v>6</v>
      </c>
      <c r="T15" s="121">
        <f t="shared" si="10"/>
        <v>167070</v>
      </c>
      <c r="U15" s="121">
        <f t="shared" si="11"/>
        <v>50455.14</v>
      </c>
      <c r="V15" s="121">
        <f t="shared" si="12"/>
        <v>217525.14</v>
      </c>
      <c r="W15" s="122">
        <f t="shared" si="13"/>
        <v>217600</v>
      </c>
      <c r="X15" s="38">
        <f>W15+'проезд Лизе к бюджету 2018'!L16</f>
        <v>290300</v>
      </c>
      <c r="Y15" s="37" t="e">
        <f>#REF!+#REF!</f>
        <v>#REF!</v>
      </c>
      <c r="Z15" s="37" t="e">
        <f t="shared" si="14"/>
        <v>#REF!</v>
      </c>
      <c r="AA15" s="249">
        <v>306405</v>
      </c>
      <c r="AB15" s="242">
        <v>92695</v>
      </c>
      <c r="AC15" s="253">
        <f t="shared" si="15"/>
        <v>399100</v>
      </c>
      <c r="AD15" s="245">
        <f t="shared" si="16"/>
        <v>334140</v>
      </c>
      <c r="AE15" s="139">
        <v>4350</v>
      </c>
      <c r="AF15" s="182">
        <v>22</v>
      </c>
      <c r="AG15" s="259">
        <v>17332.900000000001</v>
      </c>
      <c r="AH15" s="141">
        <f t="shared" si="17"/>
        <v>383373</v>
      </c>
      <c r="AI15" s="143">
        <f t="shared" si="18"/>
        <v>76968</v>
      </c>
      <c r="AJ15" s="125">
        <f>AF15-'проезд Лизе к бюджету 2018'!B16</f>
        <v>21</v>
      </c>
      <c r="AK15" s="200">
        <f t="shared" si="19"/>
        <v>76968</v>
      </c>
      <c r="AL15" s="200">
        <f t="shared" si="20"/>
        <v>-92695</v>
      </c>
      <c r="AM15" s="200">
        <f t="shared" si="21"/>
        <v>-15727</v>
      </c>
      <c r="AN15" s="204">
        <f t="shared" si="22"/>
        <v>77000</v>
      </c>
      <c r="AO15" s="204">
        <f t="shared" si="23"/>
        <v>-92695</v>
      </c>
      <c r="AP15" s="207">
        <f t="shared" si="24"/>
        <v>-15695</v>
      </c>
      <c r="AQ15" s="154">
        <f t="shared" si="4"/>
        <v>-15695</v>
      </c>
    </row>
    <row r="16" spans="1:43" ht="14.4" x14ac:dyDescent="0.3">
      <c r="A16" s="21" t="s">
        <v>13</v>
      </c>
      <c r="B16" s="132">
        <v>328</v>
      </c>
      <c r="C16" s="95">
        <v>0</v>
      </c>
      <c r="D16" s="106">
        <v>56</v>
      </c>
      <c r="E16" s="101">
        <v>56</v>
      </c>
      <c r="F16" s="103">
        <f t="shared" si="5"/>
        <v>0</v>
      </c>
      <c r="G16" s="111">
        <v>13</v>
      </c>
      <c r="H16" s="104">
        <v>11</v>
      </c>
      <c r="I16" s="105">
        <f t="shared" si="6"/>
        <v>-2</v>
      </c>
      <c r="J16" s="22">
        <f t="shared" si="0"/>
        <v>12</v>
      </c>
      <c r="K16" s="99">
        <f t="shared" si="0"/>
        <v>12</v>
      </c>
      <c r="L16" s="169">
        <f t="shared" si="7"/>
        <v>1</v>
      </c>
      <c r="M16" s="126">
        <f t="shared" si="25"/>
        <v>11</v>
      </c>
      <c r="N16" s="27">
        <v>12</v>
      </c>
      <c r="O16" s="119">
        <f t="shared" si="8"/>
        <v>334140</v>
      </c>
      <c r="P16" s="119">
        <f t="shared" si="9"/>
        <v>100910.28</v>
      </c>
      <c r="Q16" s="119">
        <f t="shared" si="1"/>
        <v>435050.28</v>
      </c>
      <c r="R16" s="24">
        <f t="shared" si="2"/>
        <v>1.7699115044247787E-2</v>
      </c>
      <c r="S16" s="120">
        <f t="shared" si="26"/>
        <v>9</v>
      </c>
      <c r="T16" s="121">
        <f t="shared" si="10"/>
        <v>250605</v>
      </c>
      <c r="U16" s="121">
        <f t="shared" si="11"/>
        <v>75682.710000000006</v>
      </c>
      <c r="V16" s="121">
        <f t="shared" si="12"/>
        <v>326287.71000000002</v>
      </c>
      <c r="W16" s="122">
        <f t="shared" si="13"/>
        <v>326300</v>
      </c>
      <c r="X16" s="38">
        <f>W16+'проезд Лизе к бюджету 2018'!L17</f>
        <v>350600</v>
      </c>
      <c r="Y16" s="37" t="e">
        <f>#REF!+#REF!</f>
        <v>#REF!</v>
      </c>
      <c r="Z16" s="37" t="e">
        <f>X16-Y16</f>
        <v>#REF!</v>
      </c>
      <c r="AA16" s="249">
        <v>241360</v>
      </c>
      <c r="AB16" s="242">
        <v>73040</v>
      </c>
      <c r="AC16" s="253">
        <f t="shared" si="15"/>
        <v>314400</v>
      </c>
      <c r="AD16" s="245">
        <f t="shared" si="16"/>
        <v>306295</v>
      </c>
      <c r="AE16" s="139">
        <v>1450</v>
      </c>
      <c r="AF16" s="182">
        <v>5</v>
      </c>
      <c r="AG16" s="259">
        <v>5675.4</v>
      </c>
      <c r="AH16" s="141">
        <f t="shared" si="17"/>
        <v>319221</v>
      </c>
      <c r="AI16" s="143">
        <f t="shared" si="18"/>
        <v>77861</v>
      </c>
      <c r="AJ16" s="125">
        <f>AF16-'проезд Лизе к бюджету 2018'!B17</f>
        <v>4</v>
      </c>
      <c r="AK16" s="200">
        <f t="shared" si="19"/>
        <v>77861</v>
      </c>
      <c r="AL16" s="200">
        <f t="shared" si="20"/>
        <v>-73040</v>
      </c>
      <c r="AM16" s="200">
        <f t="shared" si="21"/>
        <v>4821</v>
      </c>
      <c r="AN16" s="204">
        <f t="shared" si="22"/>
        <v>77899.999999999985</v>
      </c>
      <c r="AO16" s="204">
        <f t="shared" si="23"/>
        <v>-73040</v>
      </c>
      <c r="AP16" s="207">
        <f t="shared" si="24"/>
        <v>4859.9999999999854</v>
      </c>
      <c r="AQ16" s="154">
        <f t="shared" si="4"/>
        <v>4859.9999999999854</v>
      </c>
    </row>
    <row r="17" spans="1:43" ht="14.4" x14ac:dyDescent="0.3">
      <c r="A17" s="21" t="s">
        <v>14</v>
      </c>
      <c r="B17" s="132">
        <v>329</v>
      </c>
      <c r="C17" s="95">
        <v>0</v>
      </c>
      <c r="D17" s="114">
        <v>58</v>
      </c>
      <c r="E17" s="115">
        <v>53</v>
      </c>
      <c r="F17" s="103">
        <f t="shared" si="5"/>
        <v>-5</v>
      </c>
      <c r="G17" s="112">
        <v>13</v>
      </c>
      <c r="H17" s="109">
        <v>10</v>
      </c>
      <c r="I17" s="105">
        <f t="shared" si="6"/>
        <v>-3</v>
      </c>
      <c r="J17" s="22">
        <f t="shared" si="0"/>
        <v>12</v>
      </c>
      <c r="K17" s="99">
        <f t="shared" si="0"/>
        <v>11</v>
      </c>
      <c r="L17" s="169">
        <f t="shared" si="7"/>
        <v>1</v>
      </c>
      <c r="M17" s="126">
        <f t="shared" si="25"/>
        <v>10</v>
      </c>
      <c r="N17" s="27">
        <v>12</v>
      </c>
      <c r="O17" s="119">
        <f t="shared" si="8"/>
        <v>334140</v>
      </c>
      <c r="P17" s="119">
        <f t="shared" si="9"/>
        <v>100910.28</v>
      </c>
      <c r="Q17" s="119">
        <f t="shared" si="1"/>
        <v>435050.28</v>
      </c>
      <c r="R17" s="24">
        <f t="shared" si="2"/>
        <v>1.7699115044247787E-2</v>
      </c>
      <c r="S17" s="120">
        <f t="shared" si="26"/>
        <v>9</v>
      </c>
      <c r="T17" s="121">
        <f t="shared" si="10"/>
        <v>250605</v>
      </c>
      <c r="U17" s="121">
        <f t="shared" si="11"/>
        <v>75682.710000000006</v>
      </c>
      <c r="V17" s="121">
        <f t="shared" si="12"/>
        <v>326287.71000000002</v>
      </c>
      <c r="W17" s="122">
        <f t="shared" si="13"/>
        <v>326300</v>
      </c>
      <c r="X17" s="38">
        <f>W17+'проезд Лизе к бюджету 2018'!L18</f>
        <v>350600</v>
      </c>
      <c r="Y17" s="37" t="e">
        <f>#REF!+#REF!</f>
        <v>#REF!</v>
      </c>
      <c r="Z17" s="37" t="e">
        <f t="shared" ref="Z17:Z75" si="27">X17-Y17</f>
        <v>#REF!</v>
      </c>
      <c r="AA17" s="249">
        <v>241360</v>
      </c>
      <c r="AB17" s="242">
        <v>73040</v>
      </c>
      <c r="AC17" s="253">
        <f t="shared" si="15"/>
        <v>314400</v>
      </c>
      <c r="AD17" s="245">
        <f>$K$2*M17</f>
        <v>278450</v>
      </c>
      <c r="AE17" s="139"/>
      <c r="AF17" s="196">
        <v>0</v>
      </c>
      <c r="AG17" s="259"/>
      <c r="AH17" s="141">
        <f t="shared" si="17"/>
        <v>278450</v>
      </c>
      <c r="AI17" s="143">
        <f t="shared" si="18"/>
        <v>37090</v>
      </c>
      <c r="AJ17" s="125">
        <f>AF17-'проезд Лизе к бюджету 2018'!B18</f>
        <v>-1</v>
      </c>
      <c r="AK17" s="200">
        <f t="shared" si="19"/>
        <v>37090</v>
      </c>
      <c r="AL17" s="200">
        <f t="shared" si="20"/>
        <v>-73040</v>
      </c>
      <c r="AM17" s="200">
        <f t="shared" si="21"/>
        <v>-35950</v>
      </c>
      <c r="AN17" s="204">
        <f t="shared" si="22"/>
        <v>37100</v>
      </c>
      <c r="AO17" s="204">
        <f t="shared" si="23"/>
        <v>-73040</v>
      </c>
      <c r="AP17" s="207">
        <f t="shared" si="24"/>
        <v>-35940</v>
      </c>
      <c r="AQ17" s="154">
        <f t="shared" si="4"/>
        <v>-35940</v>
      </c>
    </row>
    <row r="18" spans="1:43" ht="14.4" x14ac:dyDescent="0.3">
      <c r="A18" s="21" t="s">
        <v>47</v>
      </c>
      <c r="B18" s="132">
        <v>330</v>
      </c>
      <c r="C18" s="95">
        <v>1</v>
      </c>
      <c r="D18" s="106">
        <v>57</v>
      </c>
      <c r="E18" s="101">
        <v>53</v>
      </c>
      <c r="F18" s="103">
        <f t="shared" si="5"/>
        <v>-4</v>
      </c>
      <c r="G18" s="111">
        <v>10</v>
      </c>
      <c r="H18" s="104">
        <v>9</v>
      </c>
      <c r="I18" s="105">
        <f t="shared" si="6"/>
        <v>-1</v>
      </c>
      <c r="J18" s="22">
        <f t="shared" si="0"/>
        <v>12</v>
      </c>
      <c r="K18" s="99">
        <f t="shared" si="0"/>
        <v>11</v>
      </c>
      <c r="L18" s="169">
        <f t="shared" si="7"/>
        <v>2</v>
      </c>
      <c r="M18" s="126">
        <f t="shared" si="25"/>
        <v>9</v>
      </c>
      <c r="N18" s="25">
        <v>10</v>
      </c>
      <c r="O18" s="119">
        <f t="shared" si="8"/>
        <v>278450</v>
      </c>
      <c r="P18" s="119">
        <f t="shared" si="9"/>
        <v>84091.9</v>
      </c>
      <c r="Q18" s="119">
        <f t="shared" si="1"/>
        <v>362541.9</v>
      </c>
      <c r="R18" s="24">
        <f t="shared" si="2"/>
        <v>1.4749262536873156E-2</v>
      </c>
      <c r="S18" s="120">
        <f t="shared" si="26"/>
        <v>7</v>
      </c>
      <c r="T18" s="121">
        <f t="shared" si="10"/>
        <v>194915</v>
      </c>
      <c r="U18" s="121">
        <f t="shared" si="11"/>
        <v>58864.33</v>
      </c>
      <c r="V18" s="121">
        <f t="shared" si="12"/>
        <v>253779.33000000002</v>
      </c>
      <c r="W18" s="122">
        <f t="shared" si="13"/>
        <v>253799.99999999997</v>
      </c>
      <c r="X18" s="38">
        <f>W18+'проезд Лизе к бюджету 2018'!L19</f>
        <v>302300</v>
      </c>
      <c r="Y18" s="37" t="e">
        <f>#REF!+#REF!</f>
        <v>#REF!</v>
      </c>
      <c r="Z18" s="37" t="e">
        <f t="shared" si="27"/>
        <v>#REF!</v>
      </c>
      <c r="AA18" s="249">
        <v>259960</v>
      </c>
      <c r="AB18" s="242">
        <v>78640</v>
      </c>
      <c r="AC18" s="253">
        <f t="shared" si="15"/>
        <v>338600</v>
      </c>
      <c r="AD18" s="245">
        <f t="shared" si="16"/>
        <v>250605</v>
      </c>
      <c r="AE18" s="139">
        <v>2900</v>
      </c>
      <c r="AF18" s="182">
        <v>16</v>
      </c>
      <c r="AG18" s="259">
        <v>11460.4</v>
      </c>
      <c r="AH18" s="141">
        <f t="shared" si="17"/>
        <v>285266</v>
      </c>
      <c r="AI18" s="143">
        <f t="shared" si="18"/>
        <v>25306</v>
      </c>
      <c r="AJ18" s="125">
        <f>AF18-'проезд Лизе к бюджету 2018'!B19</f>
        <v>15</v>
      </c>
      <c r="AK18" s="200">
        <f t="shared" si="19"/>
        <v>25306</v>
      </c>
      <c r="AL18" s="200">
        <f t="shared" si="20"/>
        <v>-78640</v>
      </c>
      <c r="AM18" s="200">
        <f t="shared" si="21"/>
        <v>-53334</v>
      </c>
      <c r="AN18" s="204">
        <f t="shared" si="22"/>
        <v>25400.000000000004</v>
      </c>
      <c r="AO18" s="204">
        <f t="shared" si="23"/>
        <v>-78640</v>
      </c>
      <c r="AP18" s="207">
        <f t="shared" si="24"/>
        <v>-53240</v>
      </c>
      <c r="AQ18" s="154">
        <f t="shared" si="4"/>
        <v>-53240</v>
      </c>
    </row>
    <row r="19" spans="1:43" ht="14.4" x14ac:dyDescent="0.3">
      <c r="A19" s="21" t="s">
        <v>48</v>
      </c>
      <c r="B19" s="132">
        <v>331</v>
      </c>
      <c r="C19" s="95">
        <v>1</v>
      </c>
      <c r="D19" s="106">
        <v>40</v>
      </c>
      <c r="E19" s="101">
        <v>40</v>
      </c>
      <c r="F19" s="103">
        <f t="shared" si="5"/>
        <v>0</v>
      </c>
      <c r="G19" s="111">
        <v>8</v>
      </c>
      <c r="H19" s="104">
        <v>8</v>
      </c>
      <c r="I19" s="105">
        <f t="shared" si="6"/>
        <v>0</v>
      </c>
      <c r="J19" s="22">
        <f t="shared" si="0"/>
        <v>8</v>
      </c>
      <c r="K19" s="99">
        <f t="shared" si="0"/>
        <v>8</v>
      </c>
      <c r="L19" s="169">
        <f t="shared" si="7"/>
        <v>0</v>
      </c>
      <c r="M19" s="126">
        <f t="shared" si="25"/>
        <v>8</v>
      </c>
      <c r="N19" s="25">
        <v>8</v>
      </c>
      <c r="O19" s="119">
        <f t="shared" si="8"/>
        <v>222760</v>
      </c>
      <c r="P19" s="119">
        <f t="shared" si="9"/>
        <v>67273.52</v>
      </c>
      <c r="Q19" s="119">
        <f t="shared" si="1"/>
        <v>290033.52</v>
      </c>
      <c r="R19" s="24">
        <f t="shared" si="2"/>
        <v>1.1799410029498525E-2</v>
      </c>
      <c r="S19" s="120">
        <f t="shared" si="26"/>
        <v>6</v>
      </c>
      <c r="T19" s="121">
        <f t="shared" si="10"/>
        <v>167070</v>
      </c>
      <c r="U19" s="121">
        <f t="shared" si="11"/>
        <v>50455.14</v>
      </c>
      <c r="V19" s="121">
        <f t="shared" si="12"/>
        <v>217525.14</v>
      </c>
      <c r="W19" s="122">
        <f t="shared" si="13"/>
        <v>217600</v>
      </c>
      <c r="X19" s="38">
        <f>W19+'проезд Лизе к бюджету 2018'!L20</f>
        <v>241900</v>
      </c>
      <c r="Y19" s="37" t="e">
        <f>#REF!+#REF!</f>
        <v>#REF!</v>
      </c>
      <c r="Z19" s="37" t="e">
        <f t="shared" si="27"/>
        <v>#REF!</v>
      </c>
      <c r="AA19" s="249">
        <v>157825</v>
      </c>
      <c r="AB19" s="242">
        <v>47875</v>
      </c>
      <c r="AC19" s="253">
        <f t="shared" si="15"/>
        <v>205700</v>
      </c>
      <c r="AD19" s="245">
        <f t="shared" si="16"/>
        <v>222760</v>
      </c>
      <c r="AE19" s="139">
        <v>1450</v>
      </c>
      <c r="AF19" s="182">
        <v>8</v>
      </c>
      <c r="AG19" s="259">
        <v>5717.5</v>
      </c>
      <c r="AH19" s="141">
        <f t="shared" si="17"/>
        <v>240078</v>
      </c>
      <c r="AI19" s="143">
        <f t="shared" si="18"/>
        <v>82253</v>
      </c>
      <c r="AJ19" s="125">
        <f>AF19-'проезд Лизе к бюджету 2018'!B20</f>
        <v>7</v>
      </c>
      <c r="AK19" s="200">
        <f t="shared" si="19"/>
        <v>82253</v>
      </c>
      <c r="AL19" s="200">
        <f t="shared" si="20"/>
        <v>-47875</v>
      </c>
      <c r="AM19" s="200">
        <f t="shared" si="21"/>
        <v>34378</v>
      </c>
      <c r="AN19" s="204">
        <f t="shared" si="22"/>
        <v>82300</v>
      </c>
      <c r="AO19" s="204">
        <f t="shared" si="23"/>
        <v>-47875</v>
      </c>
      <c r="AP19" s="207">
        <f t="shared" si="24"/>
        <v>34425</v>
      </c>
      <c r="AQ19" s="154">
        <f t="shared" si="4"/>
        <v>34425</v>
      </c>
    </row>
    <row r="20" spans="1:43" ht="14.4" x14ac:dyDescent="0.3">
      <c r="A20" s="21" t="s">
        <v>0</v>
      </c>
      <c r="B20" s="132">
        <v>332</v>
      </c>
      <c r="C20" s="95">
        <v>1</v>
      </c>
      <c r="D20" s="106">
        <v>69</v>
      </c>
      <c r="E20" s="101">
        <v>67</v>
      </c>
      <c r="F20" s="103">
        <f t="shared" si="5"/>
        <v>-2</v>
      </c>
      <c r="G20" s="111">
        <v>11</v>
      </c>
      <c r="H20" s="104">
        <v>13</v>
      </c>
      <c r="I20" s="105">
        <f t="shared" si="6"/>
        <v>2</v>
      </c>
      <c r="J20" s="22">
        <f t="shared" si="0"/>
        <v>14</v>
      </c>
      <c r="K20" s="99">
        <f t="shared" si="0"/>
        <v>14</v>
      </c>
      <c r="L20" s="169">
        <f t="shared" si="7"/>
        <v>1</v>
      </c>
      <c r="M20" s="126">
        <f t="shared" si="25"/>
        <v>13</v>
      </c>
      <c r="N20" s="27">
        <v>11</v>
      </c>
      <c r="O20" s="119">
        <f t="shared" si="8"/>
        <v>306295</v>
      </c>
      <c r="P20" s="119">
        <f t="shared" si="9"/>
        <v>92501.09</v>
      </c>
      <c r="Q20" s="119">
        <f t="shared" si="1"/>
        <v>398796.08999999997</v>
      </c>
      <c r="R20" s="24">
        <f t="shared" si="2"/>
        <v>1.6224188790560472E-2</v>
      </c>
      <c r="S20" s="120">
        <f t="shared" si="26"/>
        <v>8</v>
      </c>
      <c r="T20" s="121">
        <f t="shared" si="10"/>
        <v>222760</v>
      </c>
      <c r="U20" s="121">
        <f t="shared" si="11"/>
        <v>67273.52</v>
      </c>
      <c r="V20" s="121">
        <f t="shared" si="12"/>
        <v>290033.52</v>
      </c>
      <c r="W20" s="122">
        <f t="shared" si="13"/>
        <v>290100</v>
      </c>
      <c r="X20" s="38">
        <f>W20+'проезд Лизе к бюджету 2018'!L21</f>
        <v>290100</v>
      </c>
      <c r="Y20" s="37" t="e">
        <f>#REF!+#REF!</f>
        <v>#REF!</v>
      </c>
      <c r="Z20" s="37" t="e">
        <f t="shared" si="27"/>
        <v>#REF!</v>
      </c>
      <c r="AA20" s="249">
        <v>278450</v>
      </c>
      <c r="AB20" s="242">
        <v>84150</v>
      </c>
      <c r="AC20" s="253">
        <f t="shared" si="15"/>
        <v>362600</v>
      </c>
      <c r="AD20" s="245">
        <f t="shared" si="16"/>
        <v>361985</v>
      </c>
      <c r="AE20" s="139"/>
      <c r="AF20" s="182">
        <v>0</v>
      </c>
      <c r="AG20" s="259"/>
      <c r="AH20" s="141">
        <f t="shared" si="17"/>
        <v>361985</v>
      </c>
      <c r="AI20" s="143">
        <f t="shared" si="18"/>
        <v>83535</v>
      </c>
      <c r="AJ20" s="125">
        <f>AF20-'проезд Лизе к бюджету 2018'!B21</f>
        <v>0</v>
      </c>
      <c r="AK20" s="200">
        <f t="shared" si="19"/>
        <v>83535</v>
      </c>
      <c r="AL20" s="200">
        <f t="shared" si="20"/>
        <v>-84150</v>
      </c>
      <c r="AM20" s="200">
        <f t="shared" si="21"/>
        <v>-615</v>
      </c>
      <c r="AN20" s="204">
        <f t="shared" si="22"/>
        <v>83600</v>
      </c>
      <c r="AO20" s="204">
        <f t="shared" si="23"/>
        <v>-84150</v>
      </c>
      <c r="AP20" s="207">
        <f t="shared" si="24"/>
        <v>-550</v>
      </c>
      <c r="AQ20" s="154">
        <f t="shared" si="4"/>
        <v>-550</v>
      </c>
    </row>
    <row r="21" spans="1:43" ht="14.4" x14ac:dyDescent="0.3">
      <c r="A21" s="21" t="s">
        <v>1</v>
      </c>
      <c r="B21" s="132">
        <v>333</v>
      </c>
      <c r="C21" s="95">
        <v>4</v>
      </c>
      <c r="D21" s="106">
        <v>72</v>
      </c>
      <c r="E21" s="101">
        <v>91</v>
      </c>
      <c r="F21" s="103">
        <f t="shared" si="5"/>
        <v>19</v>
      </c>
      <c r="G21" s="111">
        <v>24</v>
      </c>
      <c r="H21" s="104">
        <v>18</v>
      </c>
      <c r="I21" s="105">
        <f t="shared" si="6"/>
        <v>-6</v>
      </c>
      <c r="J21" s="22">
        <f t="shared" si="0"/>
        <v>15</v>
      </c>
      <c r="K21" s="99">
        <f t="shared" si="0"/>
        <v>19</v>
      </c>
      <c r="L21" s="169">
        <f t="shared" si="7"/>
        <v>1</v>
      </c>
      <c r="M21" s="126">
        <f t="shared" si="25"/>
        <v>18</v>
      </c>
      <c r="N21" s="27">
        <v>4</v>
      </c>
      <c r="O21" s="119">
        <f t="shared" si="8"/>
        <v>111380</v>
      </c>
      <c r="P21" s="119">
        <f t="shared" si="9"/>
        <v>33636.76</v>
      </c>
      <c r="Q21" s="119">
        <f t="shared" si="1"/>
        <v>145016.76</v>
      </c>
      <c r="R21" s="24">
        <f t="shared" si="2"/>
        <v>5.8997050147492625E-3</v>
      </c>
      <c r="S21" s="120">
        <f t="shared" si="26"/>
        <v>3</v>
      </c>
      <c r="T21" s="121">
        <f t="shared" si="10"/>
        <v>83535</v>
      </c>
      <c r="U21" s="121">
        <f t="shared" si="11"/>
        <v>25227.57</v>
      </c>
      <c r="V21" s="121">
        <f t="shared" si="12"/>
        <v>108762.57</v>
      </c>
      <c r="W21" s="122">
        <f t="shared" si="13"/>
        <v>108800</v>
      </c>
      <c r="X21" s="38">
        <f>W21+'проезд Лизе к бюджету 2018'!L22</f>
        <v>108800</v>
      </c>
      <c r="Y21" s="37" t="e">
        <f>#REF!+#REF!</f>
        <v>#REF!</v>
      </c>
      <c r="Z21" s="37" t="e">
        <f t="shared" si="27"/>
        <v>#REF!</v>
      </c>
      <c r="AA21" s="249">
        <v>278450</v>
      </c>
      <c r="AB21" s="242">
        <v>84150</v>
      </c>
      <c r="AC21" s="253">
        <f t="shared" si="15"/>
        <v>362600</v>
      </c>
      <c r="AD21" s="245">
        <f t="shared" si="16"/>
        <v>501210</v>
      </c>
      <c r="AE21" s="139"/>
      <c r="AF21" s="182">
        <v>0</v>
      </c>
      <c r="AG21" s="259"/>
      <c r="AH21" s="141">
        <f t="shared" si="17"/>
        <v>501210</v>
      </c>
      <c r="AI21" s="143">
        <f t="shared" si="18"/>
        <v>222760</v>
      </c>
      <c r="AJ21" s="125">
        <f>AF21-'проезд Лизе к бюджету 2018'!B22</f>
        <v>0</v>
      </c>
      <c r="AK21" s="200">
        <f t="shared" si="19"/>
        <v>222760</v>
      </c>
      <c r="AL21" s="200">
        <f t="shared" si="20"/>
        <v>-84150</v>
      </c>
      <c r="AM21" s="200">
        <f t="shared" si="21"/>
        <v>138610</v>
      </c>
      <c r="AN21" s="204">
        <f t="shared" si="22"/>
        <v>222799.99999999997</v>
      </c>
      <c r="AO21" s="204">
        <f t="shared" si="23"/>
        <v>-84150</v>
      </c>
      <c r="AP21" s="207">
        <f t="shared" si="24"/>
        <v>138649.99999999997</v>
      </c>
      <c r="AQ21" s="154">
        <f t="shared" si="4"/>
        <v>138649.99999999997</v>
      </c>
    </row>
    <row r="22" spans="1:43" ht="14.4" x14ac:dyDescent="0.3">
      <c r="A22" s="21" t="s">
        <v>2</v>
      </c>
      <c r="B22" s="132">
        <v>334</v>
      </c>
      <c r="C22" s="95">
        <v>2</v>
      </c>
      <c r="D22" s="106">
        <v>39</v>
      </c>
      <c r="E22" s="101">
        <v>36</v>
      </c>
      <c r="F22" s="103">
        <f t="shared" si="5"/>
        <v>-3</v>
      </c>
      <c r="G22" s="111">
        <v>8</v>
      </c>
      <c r="H22" s="104">
        <v>5</v>
      </c>
      <c r="I22" s="105">
        <f t="shared" si="6"/>
        <v>-3</v>
      </c>
      <c r="J22" s="22">
        <f t="shared" si="0"/>
        <v>8</v>
      </c>
      <c r="K22" s="99">
        <f t="shared" si="0"/>
        <v>8</v>
      </c>
      <c r="L22" s="169">
        <f t="shared" si="7"/>
        <v>3</v>
      </c>
      <c r="M22" s="126">
        <f t="shared" si="25"/>
        <v>5</v>
      </c>
      <c r="N22" s="25">
        <v>8</v>
      </c>
      <c r="O22" s="119">
        <f t="shared" si="8"/>
        <v>222760</v>
      </c>
      <c r="P22" s="119">
        <f t="shared" si="9"/>
        <v>67273.52</v>
      </c>
      <c r="Q22" s="119">
        <f t="shared" si="1"/>
        <v>290033.52</v>
      </c>
      <c r="R22" s="24">
        <f t="shared" si="2"/>
        <v>1.1799410029498525E-2</v>
      </c>
      <c r="S22" s="120">
        <f t="shared" si="26"/>
        <v>6</v>
      </c>
      <c r="T22" s="121">
        <f t="shared" si="10"/>
        <v>167070</v>
      </c>
      <c r="U22" s="121">
        <f t="shared" si="11"/>
        <v>50455.14</v>
      </c>
      <c r="V22" s="121">
        <f t="shared" si="12"/>
        <v>217525.14</v>
      </c>
      <c r="W22" s="122">
        <f t="shared" si="13"/>
        <v>217600</v>
      </c>
      <c r="X22" s="38">
        <f>W22+'проезд Лизе к бюджету 2018'!L23</f>
        <v>290300</v>
      </c>
      <c r="Y22" s="37" t="e">
        <f>#REF!+#REF!</f>
        <v>#REF!</v>
      </c>
      <c r="Z22" s="37" t="e">
        <f t="shared" si="27"/>
        <v>#REF!</v>
      </c>
      <c r="AA22" s="249">
        <v>167180</v>
      </c>
      <c r="AB22" s="242">
        <v>50620</v>
      </c>
      <c r="AC22" s="253">
        <f t="shared" si="15"/>
        <v>217800</v>
      </c>
      <c r="AD22" s="245">
        <f t="shared" si="16"/>
        <v>139225</v>
      </c>
      <c r="AE22" s="139">
        <v>4350</v>
      </c>
      <c r="AF22" s="182">
        <v>26</v>
      </c>
      <c r="AG22" s="259">
        <v>17353.3</v>
      </c>
      <c r="AH22" s="141">
        <f t="shared" si="17"/>
        <v>194279</v>
      </c>
      <c r="AI22" s="143">
        <f t="shared" si="18"/>
        <v>27099</v>
      </c>
      <c r="AJ22" s="125">
        <f>AF22-'проезд Лизе к бюджету 2018'!B23</f>
        <v>24</v>
      </c>
      <c r="AK22" s="200">
        <f t="shared" si="19"/>
        <v>27099</v>
      </c>
      <c r="AL22" s="200">
        <f t="shared" si="20"/>
        <v>-50620</v>
      </c>
      <c r="AM22" s="200">
        <f t="shared" si="21"/>
        <v>-23521</v>
      </c>
      <c r="AN22" s="204">
        <f t="shared" si="22"/>
        <v>27100</v>
      </c>
      <c r="AO22" s="204">
        <f t="shared" si="23"/>
        <v>-50620</v>
      </c>
      <c r="AP22" s="207">
        <f t="shared" si="24"/>
        <v>-23520</v>
      </c>
      <c r="AQ22" s="154">
        <f t="shared" si="4"/>
        <v>-23520</v>
      </c>
    </row>
    <row r="23" spans="1:43" ht="14.4" x14ac:dyDescent="0.3">
      <c r="A23" s="21" t="s">
        <v>3</v>
      </c>
      <c r="B23" s="132">
        <v>336</v>
      </c>
      <c r="C23" s="95">
        <v>1</v>
      </c>
      <c r="D23" s="106"/>
      <c r="E23" s="101">
        <v>34</v>
      </c>
      <c r="F23" s="103">
        <f t="shared" si="5"/>
        <v>34</v>
      </c>
      <c r="G23" s="111"/>
      <c r="H23" s="104">
        <v>10</v>
      </c>
      <c r="I23" s="105">
        <f t="shared" si="6"/>
        <v>10</v>
      </c>
      <c r="J23" s="22">
        <f t="shared" si="0"/>
        <v>0</v>
      </c>
      <c r="K23" s="170">
        <f t="shared" si="0"/>
        <v>7</v>
      </c>
      <c r="L23" s="169">
        <f t="shared" si="7"/>
        <v>-3</v>
      </c>
      <c r="M23" s="126">
        <f t="shared" si="25"/>
        <v>7</v>
      </c>
      <c r="N23" s="27"/>
      <c r="O23" s="119">
        <f t="shared" si="8"/>
        <v>0</v>
      </c>
      <c r="P23" s="119">
        <f t="shared" si="9"/>
        <v>0</v>
      </c>
      <c r="Q23" s="119">
        <f t="shared" si="1"/>
        <v>0</v>
      </c>
      <c r="R23" s="24">
        <f t="shared" si="2"/>
        <v>0</v>
      </c>
      <c r="S23" s="120">
        <f t="shared" si="26"/>
        <v>0</v>
      </c>
      <c r="T23" s="121">
        <f t="shared" si="10"/>
        <v>0</v>
      </c>
      <c r="U23" s="121">
        <f t="shared" si="11"/>
        <v>0</v>
      </c>
      <c r="V23" s="121">
        <f t="shared" si="12"/>
        <v>0</v>
      </c>
      <c r="W23" s="122">
        <f t="shared" si="13"/>
        <v>0</v>
      </c>
      <c r="X23" s="38">
        <f>W23+'проезд Лизе к бюджету 2018'!L24</f>
        <v>96899.999999999985</v>
      </c>
      <c r="Y23" s="37" t="e">
        <f>#REF!+#REF!</f>
        <v>#REF!</v>
      </c>
      <c r="Z23" s="37" t="e">
        <f t="shared" si="27"/>
        <v>#REF!</v>
      </c>
      <c r="AA23" s="249">
        <v>157935</v>
      </c>
      <c r="AB23" s="242">
        <v>47865</v>
      </c>
      <c r="AC23" s="253">
        <f t="shared" si="15"/>
        <v>205800</v>
      </c>
      <c r="AD23" s="245">
        <f t="shared" si="16"/>
        <v>194915</v>
      </c>
      <c r="AE23" s="139">
        <v>1450</v>
      </c>
      <c r="AF23" s="182">
        <v>23</v>
      </c>
      <c r="AG23" s="259">
        <v>23121.599999999999</v>
      </c>
      <c r="AH23" s="141">
        <f t="shared" si="17"/>
        <v>251387</v>
      </c>
      <c r="AI23" s="143">
        <f t="shared" si="18"/>
        <v>93452</v>
      </c>
      <c r="AJ23" s="125">
        <f>AF23-'проезд Лизе к бюджету 2018'!B24</f>
        <v>19</v>
      </c>
      <c r="AK23" s="200">
        <f t="shared" si="19"/>
        <v>93452</v>
      </c>
      <c r="AL23" s="200">
        <f t="shared" si="20"/>
        <v>-47865</v>
      </c>
      <c r="AM23" s="200">
        <f t="shared" si="21"/>
        <v>45587</v>
      </c>
      <c r="AN23" s="204">
        <f t="shared" si="22"/>
        <v>93500</v>
      </c>
      <c r="AO23" s="204">
        <f t="shared" si="23"/>
        <v>-47865</v>
      </c>
      <c r="AP23" s="207">
        <f t="shared" si="24"/>
        <v>45635</v>
      </c>
      <c r="AQ23" s="154">
        <f t="shared" si="4"/>
        <v>45635</v>
      </c>
    </row>
    <row r="24" spans="1:43" ht="14.4" x14ac:dyDescent="0.3">
      <c r="A24" s="21" t="s">
        <v>4</v>
      </c>
      <c r="B24" s="132">
        <v>337</v>
      </c>
      <c r="C24" s="95">
        <v>2</v>
      </c>
      <c r="D24" s="106">
        <v>43</v>
      </c>
      <c r="E24" s="101">
        <v>43</v>
      </c>
      <c r="F24" s="103">
        <f t="shared" si="5"/>
        <v>0</v>
      </c>
      <c r="G24" s="111">
        <v>5</v>
      </c>
      <c r="H24" s="104">
        <v>9</v>
      </c>
      <c r="I24" s="105">
        <f t="shared" si="6"/>
        <v>4</v>
      </c>
      <c r="J24" s="22">
        <f t="shared" si="0"/>
        <v>9</v>
      </c>
      <c r="K24" s="99">
        <f t="shared" si="0"/>
        <v>9</v>
      </c>
      <c r="L24" s="169">
        <f t="shared" si="7"/>
        <v>0</v>
      </c>
      <c r="M24" s="126">
        <f t="shared" si="25"/>
        <v>9</v>
      </c>
      <c r="N24" s="28">
        <v>5</v>
      </c>
      <c r="O24" s="119">
        <f t="shared" si="8"/>
        <v>139225</v>
      </c>
      <c r="P24" s="119">
        <f t="shared" si="9"/>
        <v>42045.95</v>
      </c>
      <c r="Q24" s="119">
        <f t="shared" si="1"/>
        <v>181270.95</v>
      </c>
      <c r="R24" s="24">
        <f t="shared" si="2"/>
        <v>7.3746312684365781E-3</v>
      </c>
      <c r="S24" s="120">
        <f t="shared" si="26"/>
        <v>4</v>
      </c>
      <c r="T24" s="121">
        <f t="shared" si="10"/>
        <v>111380</v>
      </c>
      <c r="U24" s="121">
        <f t="shared" si="11"/>
        <v>33636.76</v>
      </c>
      <c r="V24" s="121">
        <f t="shared" si="12"/>
        <v>145016.76</v>
      </c>
      <c r="W24" s="122">
        <f t="shared" si="13"/>
        <v>145100</v>
      </c>
      <c r="X24" s="38">
        <f>W24+'проезд Лизе к бюджету 2018'!L25</f>
        <v>193600</v>
      </c>
      <c r="Y24" s="37" t="e">
        <f>#REF!+#REF!</f>
        <v>#REF!</v>
      </c>
      <c r="Z24" s="37" t="e">
        <f t="shared" si="27"/>
        <v>#REF!</v>
      </c>
      <c r="AA24" s="249">
        <v>232115</v>
      </c>
      <c r="AB24" s="242">
        <v>70285</v>
      </c>
      <c r="AC24" s="253">
        <f t="shared" si="15"/>
        <v>302400</v>
      </c>
      <c r="AD24" s="245">
        <f t="shared" si="16"/>
        <v>250605</v>
      </c>
      <c r="AE24" s="139">
        <v>2900</v>
      </c>
      <c r="AF24" s="182">
        <v>16</v>
      </c>
      <c r="AG24" s="259">
        <v>11510.619999999999</v>
      </c>
      <c r="AH24" s="141">
        <f t="shared" si="17"/>
        <v>285316</v>
      </c>
      <c r="AI24" s="143">
        <f t="shared" si="18"/>
        <v>53201</v>
      </c>
      <c r="AJ24" s="125">
        <f>AF24-'проезд Лизе к бюджету 2018'!B25</f>
        <v>14</v>
      </c>
      <c r="AK24" s="200">
        <f t="shared" si="19"/>
        <v>53201</v>
      </c>
      <c r="AL24" s="200">
        <f t="shared" si="20"/>
        <v>-70285</v>
      </c>
      <c r="AM24" s="200">
        <f t="shared" si="21"/>
        <v>-17084</v>
      </c>
      <c r="AN24" s="204">
        <f t="shared" si="22"/>
        <v>53300.000000000007</v>
      </c>
      <c r="AO24" s="204">
        <f t="shared" si="23"/>
        <v>-70285</v>
      </c>
      <c r="AP24" s="207">
        <f t="shared" si="24"/>
        <v>-16984.999999999993</v>
      </c>
      <c r="AQ24" s="154">
        <f t="shared" si="4"/>
        <v>-16984.999999999993</v>
      </c>
    </row>
    <row r="25" spans="1:43" ht="14.4" x14ac:dyDescent="0.3">
      <c r="A25" s="29" t="s">
        <v>15</v>
      </c>
      <c r="B25" s="132">
        <v>338</v>
      </c>
      <c r="C25" s="95">
        <v>7</v>
      </c>
      <c r="D25" s="106">
        <v>50</v>
      </c>
      <c r="E25" s="101">
        <v>47</v>
      </c>
      <c r="F25" s="103">
        <f t="shared" si="5"/>
        <v>-3</v>
      </c>
      <c r="G25" s="111">
        <v>8</v>
      </c>
      <c r="H25" s="104">
        <v>10</v>
      </c>
      <c r="I25" s="105">
        <f t="shared" si="6"/>
        <v>2</v>
      </c>
      <c r="J25" s="22">
        <f t="shared" si="0"/>
        <v>10</v>
      </c>
      <c r="K25" s="99">
        <f t="shared" si="0"/>
        <v>10</v>
      </c>
      <c r="L25" s="169">
        <f t="shared" si="7"/>
        <v>0</v>
      </c>
      <c r="M25" s="126">
        <f t="shared" si="25"/>
        <v>10</v>
      </c>
      <c r="N25" s="25">
        <v>8</v>
      </c>
      <c r="O25" s="119">
        <f t="shared" si="8"/>
        <v>222760</v>
      </c>
      <c r="P25" s="119">
        <f t="shared" si="9"/>
        <v>67273.52</v>
      </c>
      <c r="Q25" s="119">
        <f t="shared" si="1"/>
        <v>290033.52</v>
      </c>
      <c r="R25" s="24">
        <f t="shared" si="2"/>
        <v>1.1799410029498525E-2</v>
      </c>
      <c r="S25" s="120">
        <f t="shared" si="26"/>
        <v>6</v>
      </c>
      <c r="T25" s="121">
        <f t="shared" si="10"/>
        <v>167070</v>
      </c>
      <c r="U25" s="121">
        <f t="shared" si="11"/>
        <v>50455.14</v>
      </c>
      <c r="V25" s="121">
        <f t="shared" si="12"/>
        <v>217525.14</v>
      </c>
      <c r="W25" s="122">
        <f t="shared" si="13"/>
        <v>217600</v>
      </c>
      <c r="X25" s="38">
        <f>W25+'проезд Лизе к бюджету 2018'!L26</f>
        <v>338700</v>
      </c>
      <c r="Y25" s="37" t="e">
        <f>#REF!+#REF!</f>
        <v>#REF!</v>
      </c>
      <c r="Z25" s="37" t="e">
        <f t="shared" si="27"/>
        <v>#REF!</v>
      </c>
      <c r="AA25" s="249">
        <v>287915</v>
      </c>
      <c r="AB25" s="242">
        <v>87085</v>
      </c>
      <c r="AC25" s="253">
        <f t="shared" si="15"/>
        <v>375000</v>
      </c>
      <c r="AD25" s="245">
        <f t="shared" si="16"/>
        <v>278450</v>
      </c>
      <c r="AE25" s="139">
        <v>7250</v>
      </c>
      <c r="AF25" s="182">
        <v>40</v>
      </c>
      <c r="AG25" s="259">
        <v>28859.1</v>
      </c>
      <c r="AH25" s="141">
        <f t="shared" si="17"/>
        <v>365310</v>
      </c>
      <c r="AI25" s="143">
        <f t="shared" si="18"/>
        <v>77395</v>
      </c>
      <c r="AJ25" s="125">
        <f>AF25-'проезд Лизе к бюджету 2018'!B26</f>
        <v>36</v>
      </c>
      <c r="AK25" s="200">
        <f t="shared" si="19"/>
        <v>77395</v>
      </c>
      <c r="AL25" s="200">
        <f t="shared" si="20"/>
        <v>-87085</v>
      </c>
      <c r="AM25" s="200">
        <f t="shared" si="21"/>
        <v>-9690</v>
      </c>
      <c r="AN25" s="204">
        <f t="shared" si="22"/>
        <v>77399.999999999985</v>
      </c>
      <c r="AO25" s="204">
        <f t="shared" si="23"/>
        <v>-87085</v>
      </c>
      <c r="AP25" s="207">
        <f>SUM(AN25:AO25)</f>
        <v>-9685.0000000000146</v>
      </c>
      <c r="AQ25" s="154">
        <f t="shared" si="4"/>
        <v>-9685.0000000000146</v>
      </c>
    </row>
    <row r="26" spans="1:43" ht="14.4" x14ac:dyDescent="0.3">
      <c r="A26" s="21" t="s">
        <v>16</v>
      </c>
      <c r="B26" s="132">
        <v>339</v>
      </c>
      <c r="C26" s="95">
        <v>3</v>
      </c>
      <c r="D26" s="106">
        <v>70</v>
      </c>
      <c r="E26" s="101">
        <v>70</v>
      </c>
      <c r="F26" s="103">
        <f t="shared" si="5"/>
        <v>0</v>
      </c>
      <c r="G26" s="111">
        <v>19</v>
      </c>
      <c r="H26" s="104">
        <v>18</v>
      </c>
      <c r="I26" s="105">
        <f t="shared" si="6"/>
        <v>-1</v>
      </c>
      <c r="J26" s="22">
        <f t="shared" si="0"/>
        <v>14</v>
      </c>
      <c r="K26" s="170">
        <f t="shared" si="0"/>
        <v>14</v>
      </c>
      <c r="L26" s="169">
        <f t="shared" si="7"/>
        <v>-4</v>
      </c>
      <c r="M26" s="126">
        <f t="shared" si="25"/>
        <v>14</v>
      </c>
      <c r="N26" s="27">
        <v>14</v>
      </c>
      <c r="O26" s="119">
        <f t="shared" si="8"/>
        <v>389830</v>
      </c>
      <c r="P26" s="119">
        <f t="shared" si="9"/>
        <v>117728.66</v>
      </c>
      <c r="Q26" s="119">
        <f t="shared" si="1"/>
        <v>507558.66000000003</v>
      </c>
      <c r="R26" s="24">
        <f t="shared" si="2"/>
        <v>2.0648967551622419E-2</v>
      </c>
      <c r="S26" s="120">
        <f t="shared" si="26"/>
        <v>10</v>
      </c>
      <c r="T26" s="121">
        <f t="shared" si="10"/>
        <v>278450</v>
      </c>
      <c r="U26" s="121">
        <f t="shared" si="11"/>
        <v>84091.9</v>
      </c>
      <c r="V26" s="121">
        <f t="shared" si="12"/>
        <v>362541.9</v>
      </c>
      <c r="W26" s="122">
        <f t="shared" si="13"/>
        <v>362600</v>
      </c>
      <c r="X26" s="38">
        <f>W26+'проезд Лизе к бюджету 2018'!L27</f>
        <v>435300</v>
      </c>
      <c r="Y26" s="37" t="e">
        <f>#REF!+#REF!</f>
        <v>#REF!</v>
      </c>
      <c r="Z26" s="37" t="e">
        <f t="shared" si="27"/>
        <v>#REF!</v>
      </c>
      <c r="AA26" s="249">
        <v>362095</v>
      </c>
      <c r="AB26" s="242">
        <v>109505</v>
      </c>
      <c r="AC26" s="253">
        <f t="shared" si="15"/>
        <v>471600</v>
      </c>
      <c r="AD26" s="245">
        <f t="shared" si="16"/>
        <v>389830</v>
      </c>
      <c r="AE26" s="139">
        <v>4350</v>
      </c>
      <c r="AF26" s="182">
        <v>24</v>
      </c>
      <c r="AG26" s="259">
        <v>17298.059999999998</v>
      </c>
      <c r="AH26" s="141">
        <f t="shared" si="17"/>
        <v>441929</v>
      </c>
      <c r="AI26" s="143">
        <f t="shared" si="18"/>
        <v>79834</v>
      </c>
      <c r="AJ26" s="125">
        <f>AF26-'проезд Лизе к бюджету 2018'!B27</f>
        <v>20</v>
      </c>
      <c r="AK26" s="200">
        <f t="shared" si="19"/>
        <v>79834</v>
      </c>
      <c r="AL26" s="200">
        <f t="shared" si="20"/>
        <v>-109505</v>
      </c>
      <c r="AM26" s="200">
        <f t="shared" si="21"/>
        <v>-29671</v>
      </c>
      <c r="AN26" s="204">
        <f t="shared" si="22"/>
        <v>79899.999999999985</v>
      </c>
      <c r="AO26" s="204">
        <f t="shared" si="23"/>
        <v>-109505</v>
      </c>
      <c r="AP26" s="207">
        <f t="shared" ref="AP26:AP75" si="28">SUM(AN26:AO26)</f>
        <v>-29605.000000000015</v>
      </c>
      <c r="AQ26" s="154">
        <f t="shared" si="4"/>
        <v>-29605.000000000015</v>
      </c>
    </row>
    <row r="27" spans="1:43" ht="14.4" x14ac:dyDescent="0.3">
      <c r="A27" s="21" t="s">
        <v>17</v>
      </c>
      <c r="B27" s="132">
        <v>340</v>
      </c>
      <c r="C27" s="95">
        <v>2</v>
      </c>
      <c r="D27" s="106">
        <v>28</v>
      </c>
      <c r="E27" s="101">
        <v>28</v>
      </c>
      <c r="F27" s="103">
        <f t="shared" si="5"/>
        <v>0</v>
      </c>
      <c r="G27" s="111">
        <v>8</v>
      </c>
      <c r="H27" s="104">
        <v>7</v>
      </c>
      <c r="I27" s="105">
        <f t="shared" si="6"/>
        <v>-1</v>
      </c>
      <c r="J27" s="22">
        <f t="shared" si="0"/>
        <v>6</v>
      </c>
      <c r="K27" s="99">
        <f t="shared" si="0"/>
        <v>6</v>
      </c>
      <c r="L27" s="169">
        <f t="shared" si="7"/>
        <v>-1</v>
      </c>
      <c r="M27" s="178">
        <f>IF(H27&gt;K27,K27,H27)+1</f>
        <v>7</v>
      </c>
      <c r="N27" s="25">
        <v>6</v>
      </c>
      <c r="O27" s="119">
        <f t="shared" si="8"/>
        <v>167070</v>
      </c>
      <c r="P27" s="119">
        <f t="shared" si="9"/>
        <v>50455.14</v>
      </c>
      <c r="Q27" s="119">
        <f t="shared" si="1"/>
        <v>217525.14</v>
      </c>
      <c r="R27" s="24">
        <f t="shared" si="2"/>
        <v>8.8495575221238937E-3</v>
      </c>
      <c r="S27" s="120">
        <f t="shared" si="26"/>
        <v>4</v>
      </c>
      <c r="T27" s="121">
        <f t="shared" si="10"/>
        <v>111380</v>
      </c>
      <c r="U27" s="121">
        <f t="shared" si="11"/>
        <v>33636.76</v>
      </c>
      <c r="V27" s="121">
        <f t="shared" si="12"/>
        <v>145016.76</v>
      </c>
      <c r="W27" s="122">
        <f t="shared" si="13"/>
        <v>145100</v>
      </c>
      <c r="X27" s="38">
        <f>W27+'проезд Лизе к бюджету 2018'!L28</f>
        <v>145100</v>
      </c>
      <c r="Y27" s="37" t="e">
        <f>#REF!+#REF!</f>
        <v>#REF!</v>
      </c>
      <c r="Z27" s="37" t="e">
        <f t="shared" si="27"/>
        <v>#REF!</v>
      </c>
      <c r="AA27" s="249">
        <v>111380</v>
      </c>
      <c r="AB27" s="242">
        <v>33720</v>
      </c>
      <c r="AC27" s="253">
        <f t="shared" si="15"/>
        <v>145100</v>
      </c>
      <c r="AD27" s="245">
        <f t="shared" si="16"/>
        <v>194915</v>
      </c>
      <c r="AE27" s="139"/>
      <c r="AF27" s="182">
        <v>0</v>
      </c>
      <c r="AG27" s="259"/>
      <c r="AH27" s="141">
        <f t="shared" si="17"/>
        <v>194915</v>
      </c>
      <c r="AI27" s="143">
        <f t="shared" si="18"/>
        <v>83535</v>
      </c>
      <c r="AJ27" s="125">
        <f>AF27-'проезд Лизе к бюджету 2018'!B28</f>
        <v>-2</v>
      </c>
      <c r="AK27" s="200">
        <f t="shared" si="19"/>
        <v>83535</v>
      </c>
      <c r="AL27" s="200">
        <f t="shared" si="20"/>
        <v>-33720</v>
      </c>
      <c r="AM27" s="200">
        <f t="shared" si="21"/>
        <v>49815</v>
      </c>
      <c r="AN27" s="204">
        <f t="shared" si="22"/>
        <v>83600</v>
      </c>
      <c r="AO27" s="204">
        <f t="shared" si="23"/>
        <v>-33720</v>
      </c>
      <c r="AP27" s="207">
        <f t="shared" si="28"/>
        <v>49880</v>
      </c>
      <c r="AQ27" s="154">
        <f t="shared" si="4"/>
        <v>49880</v>
      </c>
    </row>
    <row r="28" spans="1:43" ht="14.4" x14ac:dyDescent="0.3">
      <c r="A28" s="21" t="s">
        <v>18</v>
      </c>
      <c r="B28" s="132">
        <v>341</v>
      </c>
      <c r="C28" s="95"/>
      <c r="D28" s="106"/>
      <c r="E28" s="101">
        <v>54</v>
      </c>
      <c r="F28" s="103">
        <f t="shared" si="5"/>
        <v>54</v>
      </c>
      <c r="G28" s="111"/>
      <c r="H28" s="104">
        <v>10</v>
      </c>
      <c r="I28" s="105">
        <f t="shared" si="6"/>
        <v>10</v>
      </c>
      <c r="J28" s="22">
        <f t="shared" si="0"/>
        <v>0</v>
      </c>
      <c r="K28" s="99">
        <f t="shared" si="0"/>
        <v>11</v>
      </c>
      <c r="L28" s="169">
        <f t="shared" si="7"/>
        <v>1</v>
      </c>
      <c r="M28" s="126">
        <f t="shared" si="25"/>
        <v>10</v>
      </c>
      <c r="N28" s="27"/>
      <c r="O28" s="119">
        <f t="shared" si="8"/>
        <v>0</v>
      </c>
      <c r="P28" s="119">
        <f t="shared" si="9"/>
        <v>0</v>
      </c>
      <c r="Q28" s="119">
        <f t="shared" si="1"/>
        <v>0</v>
      </c>
      <c r="R28" s="24">
        <f t="shared" si="2"/>
        <v>0</v>
      </c>
      <c r="S28" s="120">
        <f t="shared" si="26"/>
        <v>0</v>
      </c>
      <c r="T28" s="121">
        <f t="shared" si="10"/>
        <v>0</v>
      </c>
      <c r="U28" s="121">
        <f t="shared" si="11"/>
        <v>0</v>
      </c>
      <c r="V28" s="121">
        <f t="shared" si="12"/>
        <v>0</v>
      </c>
      <c r="W28" s="122">
        <f t="shared" si="13"/>
        <v>0</v>
      </c>
      <c r="X28" s="38">
        <f>W28+'проезд Лизе к бюджету 2018'!L29</f>
        <v>72699.999999999985</v>
      </c>
      <c r="Y28" s="37" t="e">
        <f>#REF!+#REF!</f>
        <v>#REF!</v>
      </c>
      <c r="Z28" s="37" t="e">
        <f t="shared" si="27"/>
        <v>#REF!</v>
      </c>
      <c r="AA28" s="249">
        <v>278560</v>
      </c>
      <c r="AB28" s="242">
        <v>84240</v>
      </c>
      <c r="AC28" s="253">
        <f t="shared" si="15"/>
        <v>362800</v>
      </c>
      <c r="AD28" s="245">
        <f t="shared" si="16"/>
        <v>278450</v>
      </c>
      <c r="AE28" s="139">
        <v>4350</v>
      </c>
      <c r="AF28" s="182">
        <v>24</v>
      </c>
      <c r="AG28" s="259">
        <v>17261.2</v>
      </c>
      <c r="AH28" s="141">
        <f t="shared" si="17"/>
        <v>330512</v>
      </c>
      <c r="AI28" s="143">
        <f t="shared" si="18"/>
        <v>51952</v>
      </c>
      <c r="AJ28" s="125">
        <f>AF28-'проезд Лизе к бюджету 2018'!B29</f>
        <v>21</v>
      </c>
      <c r="AK28" s="200">
        <f t="shared" si="19"/>
        <v>51952</v>
      </c>
      <c r="AL28" s="200">
        <f t="shared" si="20"/>
        <v>-84240</v>
      </c>
      <c r="AM28" s="200">
        <f t="shared" si="21"/>
        <v>-32288</v>
      </c>
      <c r="AN28" s="204">
        <f t="shared" si="22"/>
        <v>52000</v>
      </c>
      <c r="AO28" s="204">
        <f t="shared" si="23"/>
        <v>-84240</v>
      </c>
      <c r="AP28" s="207">
        <f t="shared" si="28"/>
        <v>-32240</v>
      </c>
      <c r="AQ28" s="154">
        <f t="shared" si="4"/>
        <v>-32240</v>
      </c>
    </row>
    <row r="29" spans="1:43" ht="14.4" x14ac:dyDescent="0.3">
      <c r="A29" s="21" t="s">
        <v>19</v>
      </c>
      <c r="B29" s="132">
        <v>342</v>
      </c>
      <c r="C29" s="95">
        <v>0</v>
      </c>
      <c r="D29" s="106">
        <v>41</v>
      </c>
      <c r="E29" s="101">
        <v>39</v>
      </c>
      <c r="F29" s="103">
        <f t="shared" si="5"/>
        <v>-2</v>
      </c>
      <c r="G29" s="111">
        <v>9</v>
      </c>
      <c r="H29" s="104">
        <v>6</v>
      </c>
      <c r="I29" s="105">
        <f t="shared" si="6"/>
        <v>-3</v>
      </c>
      <c r="J29" s="22">
        <f t="shared" si="0"/>
        <v>9</v>
      </c>
      <c r="K29" s="99">
        <f t="shared" si="0"/>
        <v>8</v>
      </c>
      <c r="L29" s="169">
        <f t="shared" si="7"/>
        <v>2</v>
      </c>
      <c r="M29" s="126">
        <f t="shared" si="25"/>
        <v>6</v>
      </c>
      <c r="N29" s="25">
        <v>9</v>
      </c>
      <c r="O29" s="119">
        <f t="shared" si="8"/>
        <v>250605</v>
      </c>
      <c r="P29" s="119">
        <f t="shared" si="9"/>
        <v>75682.709999999992</v>
      </c>
      <c r="Q29" s="119">
        <f t="shared" si="1"/>
        <v>326287.70999999996</v>
      </c>
      <c r="R29" s="24">
        <f t="shared" si="2"/>
        <v>1.3274336283185841E-2</v>
      </c>
      <c r="S29" s="120">
        <f t="shared" si="26"/>
        <v>7</v>
      </c>
      <c r="T29" s="121">
        <f t="shared" si="10"/>
        <v>194915</v>
      </c>
      <c r="U29" s="121">
        <f t="shared" si="11"/>
        <v>58864.33</v>
      </c>
      <c r="V29" s="121">
        <f t="shared" si="12"/>
        <v>253779.33000000002</v>
      </c>
      <c r="W29" s="122">
        <f t="shared" si="13"/>
        <v>253799.99999999997</v>
      </c>
      <c r="X29" s="38">
        <f>W29+'проезд Лизе к бюджету 2018'!L30</f>
        <v>253799.99999999997</v>
      </c>
      <c r="Y29" s="37" t="e">
        <f>#REF!+#REF!</f>
        <v>#REF!</v>
      </c>
      <c r="Z29" s="37" t="e">
        <f t="shared" si="27"/>
        <v>#REF!</v>
      </c>
      <c r="AA29" s="249">
        <v>139225</v>
      </c>
      <c r="AB29" s="242">
        <v>42175</v>
      </c>
      <c r="AC29" s="253">
        <f t="shared" si="15"/>
        <v>181400</v>
      </c>
      <c r="AD29" s="245">
        <f t="shared" si="16"/>
        <v>167070</v>
      </c>
      <c r="AE29" s="139"/>
      <c r="AF29" s="182">
        <v>0</v>
      </c>
      <c r="AG29" s="259"/>
      <c r="AH29" s="141">
        <f t="shared" si="17"/>
        <v>167070</v>
      </c>
      <c r="AI29" s="143">
        <f t="shared" si="18"/>
        <v>27845</v>
      </c>
      <c r="AJ29" s="125">
        <f>AF29-'проезд Лизе к бюджету 2018'!B30</f>
        <v>0</v>
      </c>
      <c r="AK29" s="200">
        <f t="shared" si="19"/>
        <v>27845</v>
      </c>
      <c r="AL29" s="200">
        <f t="shared" si="20"/>
        <v>-42175</v>
      </c>
      <c r="AM29" s="200">
        <f t="shared" si="21"/>
        <v>-14330</v>
      </c>
      <c r="AN29" s="204">
        <f t="shared" si="22"/>
        <v>27900.000000000004</v>
      </c>
      <c r="AO29" s="204">
        <f t="shared" si="23"/>
        <v>-42175</v>
      </c>
      <c r="AP29" s="207">
        <f t="shared" si="28"/>
        <v>-14274.999999999996</v>
      </c>
      <c r="AQ29" s="154">
        <f t="shared" si="4"/>
        <v>-14274.999999999996</v>
      </c>
    </row>
    <row r="30" spans="1:43" ht="14.4" x14ac:dyDescent="0.3">
      <c r="A30" s="21" t="s">
        <v>41</v>
      </c>
      <c r="B30" s="132">
        <v>343</v>
      </c>
      <c r="C30" s="95">
        <v>1</v>
      </c>
      <c r="D30" s="106">
        <v>74</v>
      </c>
      <c r="E30" s="101">
        <v>59</v>
      </c>
      <c r="F30" s="103">
        <f t="shared" si="5"/>
        <v>-15</v>
      </c>
      <c r="G30" s="111">
        <v>4</v>
      </c>
      <c r="H30" s="104">
        <v>14</v>
      </c>
      <c r="I30" s="105">
        <f t="shared" si="6"/>
        <v>10</v>
      </c>
      <c r="J30" s="22">
        <f t="shared" si="0"/>
        <v>15</v>
      </c>
      <c r="K30" s="99">
        <f t="shared" si="0"/>
        <v>12</v>
      </c>
      <c r="L30" s="169">
        <f t="shared" si="7"/>
        <v>-2</v>
      </c>
      <c r="M30" s="178">
        <f>IF(H30&gt;K30,K30,H30)+1</f>
        <v>13</v>
      </c>
      <c r="N30" s="25">
        <v>4</v>
      </c>
      <c r="O30" s="119">
        <f t="shared" si="8"/>
        <v>111380</v>
      </c>
      <c r="P30" s="119">
        <f t="shared" si="9"/>
        <v>33636.76</v>
      </c>
      <c r="Q30" s="119">
        <f t="shared" si="1"/>
        <v>145016.76</v>
      </c>
      <c r="R30" s="24">
        <f t="shared" si="2"/>
        <v>5.8997050147492625E-3</v>
      </c>
      <c r="S30" s="120">
        <f t="shared" si="26"/>
        <v>3</v>
      </c>
      <c r="T30" s="121">
        <f t="shared" si="10"/>
        <v>83535</v>
      </c>
      <c r="U30" s="121">
        <f t="shared" si="11"/>
        <v>25227.57</v>
      </c>
      <c r="V30" s="121">
        <f t="shared" si="12"/>
        <v>108762.57</v>
      </c>
      <c r="W30" s="122">
        <f t="shared" si="13"/>
        <v>108800</v>
      </c>
      <c r="X30" s="38">
        <f>W30+'проезд Лизе к бюджету 2018'!L31</f>
        <v>108800</v>
      </c>
      <c r="Y30" s="37" t="e">
        <f>#REF!+#REF!</f>
        <v>#REF!</v>
      </c>
      <c r="Z30" s="37" t="e">
        <f t="shared" si="27"/>
        <v>#REF!</v>
      </c>
      <c r="AA30" s="249">
        <v>222760</v>
      </c>
      <c r="AB30" s="242">
        <v>67340</v>
      </c>
      <c r="AC30" s="253">
        <f t="shared" si="15"/>
        <v>290100</v>
      </c>
      <c r="AD30" s="245">
        <f t="shared" si="16"/>
        <v>361985</v>
      </c>
      <c r="AE30" s="139"/>
      <c r="AF30" s="140">
        <v>0</v>
      </c>
      <c r="AG30" s="259"/>
      <c r="AH30" s="141">
        <f t="shared" si="17"/>
        <v>361985</v>
      </c>
      <c r="AI30" s="143">
        <f t="shared" si="18"/>
        <v>139225</v>
      </c>
      <c r="AJ30" s="125">
        <f>AF30-'проезд Лизе к бюджету 2018'!B31</f>
        <v>0</v>
      </c>
      <c r="AK30" s="200">
        <f t="shared" si="19"/>
        <v>139225</v>
      </c>
      <c r="AL30" s="200">
        <f t="shared" si="20"/>
        <v>-67340</v>
      </c>
      <c r="AM30" s="200">
        <f t="shared" si="21"/>
        <v>71885</v>
      </c>
      <c r="AN30" s="204">
        <f t="shared" si="22"/>
        <v>139299.99999999997</v>
      </c>
      <c r="AO30" s="204">
        <f t="shared" si="23"/>
        <v>-67340</v>
      </c>
      <c r="AP30" s="207">
        <f t="shared" si="28"/>
        <v>71959.999999999971</v>
      </c>
      <c r="AQ30" s="154">
        <f t="shared" si="4"/>
        <v>71959.999999999971</v>
      </c>
    </row>
    <row r="31" spans="1:43" ht="14.4" x14ac:dyDescent="0.3">
      <c r="A31" s="21" t="s">
        <v>60</v>
      </c>
      <c r="B31" s="133">
        <v>344</v>
      </c>
      <c r="C31" s="95">
        <v>4</v>
      </c>
      <c r="D31" s="106">
        <v>109</v>
      </c>
      <c r="E31" s="101">
        <v>137</v>
      </c>
      <c r="F31" s="107">
        <f t="shared" si="5"/>
        <v>28</v>
      </c>
      <c r="G31" s="111">
        <v>21</v>
      </c>
      <c r="H31" s="104">
        <v>13</v>
      </c>
      <c r="I31" s="108">
        <f t="shared" si="6"/>
        <v>-8</v>
      </c>
      <c r="J31" s="22">
        <f t="shared" si="0"/>
        <v>22</v>
      </c>
      <c r="K31" s="99">
        <f t="shared" si="0"/>
        <v>28</v>
      </c>
      <c r="L31" s="169">
        <f t="shared" si="7"/>
        <v>15</v>
      </c>
      <c r="M31" s="126">
        <f t="shared" si="25"/>
        <v>13</v>
      </c>
      <c r="N31" s="28">
        <v>21</v>
      </c>
      <c r="O31" s="119">
        <f t="shared" si="8"/>
        <v>584745</v>
      </c>
      <c r="P31" s="119">
        <f t="shared" si="9"/>
        <v>176592.99</v>
      </c>
      <c r="Q31" s="119">
        <f t="shared" si="1"/>
        <v>761337.99</v>
      </c>
      <c r="R31" s="24">
        <f t="shared" si="2"/>
        <v>3.0973451327433628E-2</v>
      </c>
      <c r="S31" s="120">
        <f>ROUND(R31*$O$83,0)-1</f>
        <v>14</v>
      </c>
      <c r="T31" s="121">
        <f t="shared" si="10"/>
        <v>389830</v>
      </c>
      <c r="U31" s="121">
        <f t="shared" si="11"/>
        <v>117728.66</v>
      </c>
      <c r="V31" s="121">
        <f t="shared" si="12"/>
        <v>507558.66000000003</v>
      </c>
      <c r="W31" s="122">
        <f t="shared" si="13"/>
        <v>507600</v>
      </c>
      <c r="X31" s="38">
        <f>W31+'проезд Лизе к бюджету 2018'!L32</f>
        <v>604500</v>
      </c>
      <c r="Y31" s="37" t="e">
        <f>#REF!+#REF!</f>
        <v>#REF!</v>
      </c>
      <c r="Z31" s="37" t="e">
        <f t="shared" si="27"/>
        <v>#REF!</v>
      </c>
      <c r="AA31" s="249">
        <v>352850</v>
      </c>
      <c r="AB31" s="242">
        <v>106650</v>
      </c>
      <c r="AC31" s="253">
        <f t="shared" si="15"/>
        <v>459500</v>
      </c>
      <c r="AD31" s="245">
        <f t="shared" si="16"/>
        <v>361985</v>
      </c>
      <c r="AE31" s="139">
        <v>5800</v>
      </c>
      <c r="AF31" s="182">
        <v>32</v>
      </c>
      <c r="AG31" s="259">
        <v>23113.3</v>
      </c>
      <c r="AH31" s="141">
        <f t="shared" si="17"/>
        <v>431499</v>
      </c>
      <c r="AI31" s="143">
        <f t="shared" si="18"/>
        <v>78649</v>
      </c>
      <c r="AJ31" s="125">
        <f>AF31-'проезд Лизе к бюджету 2018'!B32</f>
        <v>30</v>
      </c>
      <c r="AK31" s="200">
        <f t="shared" si="19"/>
        <v>78649</v>
      </c>
      <c r="AL31" s="200">
        <f t="shared" si="20"/>
        <v>-106650</v>
      </c>
      <c r="AM31" s="200">
        <f t="shared" si="21"/>
        <v>-28001</v>
      </c>
      <c r="AN31" s="204">
        <f t="shared" si="22"/>
        <v>78699.999999999985</v>
      </c>
      <c r="AO31" s="204">
        <f t="shared" si="23"/>
        <v>-106650</v>
      </c>
      <c r="AP31" s="207">
        <f t="shared" si="28"/>
        <v>-27950.000000000015</v>
      </c>
      <c r="AQ31" s="154">
        <f t="shared" si="4"/>
        <v>-27950.000000000015</v>
      </c>
    </row>
    <row r="32" spans="1:43" ht="14.4" x14ac:dyDescent="0.3">
      <c r="A32" s="21" t="s">
        <v>20</v>
      </c>
      <c r="B32" s="132">
        <v>345</v>
      </c>
      <c r="C32" s="95">
        <v>2</v>
      </c>
      <c r="D32" s="106">
        <v>56</v>
      </c>
      <c r="E32" s="101">
        <v>46</v>
      </c>
      <c r="F32" s="103">
        <f t="shared" si="5"/>
        <v>-10</v>
      </c>
      <c r="G32" s="111">
        <v>12</v>
      </c>
      <c r="H32" s="104">
        <v>7</v>
      </c>
      <c r="I32" s="105">
        <f t="shared" si="6"/>
        <v>-5</v>
      </c>
      <c r="J32" s="22">
        <f t="shared" si="0"/>
        <v>12</v>
      </c>
      <c r="K32" s="99">
        <f t="shared" si="0"/>
        <v>10</v>
      </c>
      <c r="L32" s="169">
        <f t="shared" si="7"/>
        <v>3</v>
      </c>
      <c r="M32" s="126">
        <f t="shared" si="25"/>
        <v>7</v>
      </c>
      <c r="N32" s="25">
        <v>12</v>
      </c>
      <c r="O32" s="119">
        <f t="shared" si="8"/>
        <v>334140</v>
      </c>
      <c r="P32" s="119">
        <f t="shared" si="9"/>
        <v>100910.28</v>
      </c>
      <c r="Q32" s="119">
        <f t="shared" si="1"/>
        <v>435050.28</v>
      </c>
      <c r="R32" s="24">
        <f t="shared" si="2"/>
        <v>1.7699115044247787E-2</v>
      </c>
      <c r="S32" s="120">
        <f t="shared" ref="S32:S40" si="29">ROUND(R32*$O$83,0)</f>
        <v>9</v>
      </c>
      <c r="T32" s="121">
        <f t="shared" si="10"/>
        <v>250605</v>
      </c>
      <c r="U32" s="121">
        <f t="shared" si="11"/>
        <v>75682.710000000006</v>
      </c>
      <c r="V32" s="121">
        <f t="shared" si="12"/>
        <v>326287.71000000002</v>
      </c>
      <c r="W32" s="122">
        <f t="shared" si="13"/>
        <v>326300</v>
      </c>
      <c r="X32" s="38">
        <f>W32+'проезд Лизе к бюджету 2018'!L33</f>
        <v>350600</v>
      </c>
      <c r="Y32" s="37" t="e">
        <f>#REF!+#REF!</f>
        <v>#REF!</v>
      </c>
      <c r="Z32" s="37" t="e">
        <f t="shared" si="27"/>
        <v>#REF!</v>
      </c>
      <c r="AA32" s="249">
        <v>157825</v>
      </c>
      <c r="AB32" s="242">
        <v>47875</v>
      </c>
      <c r="AC32" s="253">
        <f t="shared" si="15"/>
        <v>205700</v>
      </c>
      <c r="AD32" s="245">
        <f t="shared" si="16"/>
        <v>194915</v>
      </c>
      <c r="AE32" s="139">
        <v>1450</v>
      </c>
      <c r="AF32" s="182">
        <v>8</v>
      </c>
      <c r="AG32" s="259">
        <v>5642.9</v>
      </c>
      <c r="AH32" s="141">
        <f t="shared" si="17"/>
        <v>212158</v>
      </c>
      <c r="AI32" s="143">
        <f t="shared" si="18"/>
        <v>54333</v>
      </c>
      <c r="AJ32" s="125">
        <f>AF32-'проезд Лизе к бюджету 2018'!B33</f>
        <v>7</v>
      </c>
      <c r="AK32" s="200">
        <f t="shared" si="19"/>
        <v>54333</v>
      </c>
      <c r="AL32" s="200">
        <f t="shared" si="20"/>
        <v>-47875</v>
      </c>
      <c r="AM32" s="200">
        <f t="shared" si="21"/>
        <v>6458</v>
      </c>
      <c r="AN32" s="204">
        <f t="shared" si="22"/>
        <v>54400</v>
      </c>
      <c r="AO32" s="204">
        <f t="shared" si="23"/>
        <v>-47875</v>
      </c>
      <c r="AP32" s="207">
        <f t="shared" si="28"/>
        <v>6525</v>
      </c>
      <c r="AQ32" s="154">
        <f t="shared" si="4"/>
        <v>6525</v>
      </c>
    </row>
    <row r="33" spans="1:43" ht="14.4" x14ac:dyDescent="0.3">
      <c r="A33" s="29" t="s">
        <v>7</v>
      </c>
      <c r="B33" s="132">
        <v>346</v>
      </c>
      <c r="C33" s="95">
        <v>1</v>
      </c>
      <c r="D33" s="106">
        <v>118</v>
      </c>
      <c r="E33" s="101">
        <v>83</v>
      </c>
      <c r="F33" s="103">
        <f t="shared" si="5"/>
        <v>-35</v>
      </c>
      <c r="G33" s="111">
        <v>14</v>
      </c>
      <c r="H33" s="104">
        <v>12</v>
      </c>
      <c r="I33" s="105">
        <f t="shared" si="6"/>
        <v>-2</v>
      </c>
      <c r="J33" s="22">
        <f t="shared" si="0"/>
        <v>24</v>
      </c>
      <c r="K33" s="99">
        <f t="shared" si="0"/>
        <v>17</v>
      </c>
      <c r="L33" s="169">
        <f t="shared" si="7"/>
        <v>5</v>
      </c>
      <c r="M33" s="126">
        <f t="shared" si="25"/>
        <v>12</v>
      </c>
      <c r="N33" s="25">
        <v>14</v>
      </c>
      <c r="O33" s="119">
        <f t="shared" si="8"/>
        <v>389830</v>
      </c>
      <c r="P33" s="119">
        <f t="shared" si="9"/>
        <v>117728.66</v>
      </c>
      <c r="Q33" s="119">
        <f t="shared" si="1"/>
        <v>507558.66000000003</v>
      </c>
      <c r="R33" s="24">
        <f t="shared" si="2"/>
        <v>2.0648967551622419E-2</v>
      </c>
      <c r="S33" s="120">
        <f t="shared" si="29"/>
        <v>10</v>
      </c>
      <c r="T33" s="121">
        <f t="shared" si="10"/>
        <v>278450</v>
      </c>
      <c r="U33" s="121">
        <f t="shared" si="11"/>
        <v>84091.9</v>
      </c>
      <c r="V33" s="121">
        <f t="shared" si="12"/>
        <v>362541.9</v>
      </c>
      <c r="W33" s="122">
        <f t="shared" si="13"/>
        <v>362600</v>
      </c>
      <c r="X33" s="38">
        <f>W33+'проезд Лизе к бюджету 2018'!L34</f>
        <v>411100</v>
      </c>
      <c r="Y33" s="37" t="e">
        <f>#REF!+#REF!</f>
        <v>#REF!</v>
      </c>
      <c r="Z33" s="37" t="e">
        <f t="shared" si="27"/>
        <v>#REF!</v>
      </c>
      <c r="AA33" s="249">
        <v>287805</v>
      </c>
      <c r="AB33" s="242">
        <v>87095</v>
      </c>
      <c r="AC33" s="253">
        <f t="shared" si="15"/>
        <v>374900</v>
      </c>
      <c r="AD33" s="245">
        <f t="shared" si="16"/>
        <v>334140</v>
      </c>
      <c r="AE33" s="139">
        <v>1450</v>
      </c>
      <c r="AF33" s="182">
        <v>11</v>
      </c>
      <c r="AG33" s="259">
        <v>4350</v>
      </c>
      <c r="AH33" s="141">
        <f t="shared" si="17"/>
        <v>354440</v>
      </c>
      <c r="AI33" s="143">
        <f t="shared" si="18"/>
        <v>66635</v>
      </c>
      <c r="AJ33" s="125">
        <f>AF33-'проезд Лизе к бюджету 2018'!B34</f>
        <v>10</v>
      </c>
      <c r="AK33" s="200">
        <f t="shared" si="19"/>
        <v>66635</v>
      </c>
      <c r="AL33" s="200">
        <f t="shared" si="20"/>
        <v>-87095</v>
      </c>
      <c r="AM33" s="200">
        <f t="shared" si="21"/>
        <v>-20460</v>
      </c>
      <c r="AN33" s="204">
        <f t="shared" si="22"/>
        <v>66699.999999999985</v>
      </c>
      <c r="AO33" s="204">
        <f t="shared" si="23"/>
        <v>-87095</v>
      </c>
      <c r="AP33" s="207">
        <f t="shared" si="28"/>
        <v>-20395.000000000015</v>
      </c>
      <c r="AQ33" s="154">
        <f t="shared" si="4"/>
        <v>-20395.000000000015</v>
      </c>
    </row>
    <row r="34" spans="1:43" ht="14.4" x14ac:dyDescent="0.3">
      <c r="A34" s="21" t="s">
        <v>21</v>
      </c>
      <c r="B34" s="132">
        <v>347</v>
      </c>
      <c r="C34" s="95">
        <v>0</v>
      </c>
      <c r="D34" s="106">
        <v>71</v>
      </c>
      <c r="E34" s="101">
        <v>71</v>
      </c>
      <c r="F34" s="103">
        <f t="shared" si="5"/>
        <v>0</v>
      </c>
      <c r="G34" s="111">
        <v>14</v>
      </c>
      <c r="H34" s="104">
        <v>14</v>
      </c>
      <c r="I34" s="105">
        <f t="shared" si="6"/>
        <v>0</v>
      </c>
      <c r="J34" s="22">
        <f t="shared" si="0"/>
        <v>15</v>
      </c>
      <c r="K34" s="99">
        <f t="shared" si="0"/>
        <v>15</v>
      </c>
      <c r="L34" s="169">
        <f t="shared" si="7"/>
        <v>1</v>
      </c>
      <c r="M34" s="126">
        <f t="shared" si="25"/>
        <v>14</v>
      </c>
      <c r="N34" s="27">
        <v>14</v>
      </c>
      <c r="O34" s="119">
        <f t="shared" si="8"/>
        <v>389830</v>
      </c>
      <c r="P34" s="119">
        <f t="shared" si="9"/>
        <v>117728.66</v>
      </c>
      <c r="Q34" s="119">
        <f t="shared" si="1"/>
        <v>507558.66000000003</v>
      </c>
      <c r="R34" s="24">
        <f t="shared" si="2"/>
        <v>2.0648967551622419E-2</v>
      </c>
      <c r="S34" s="120">
        <f t="shared" si="29"/>
        <v>10</v>
      </c>
      <c r="T34" s="121">
        <f t="shared" si="10"/>
        <v>278450</v>
      </c>
      <c r="U34" s="121">
        <f t="shared" si="11"/>
        <v>84091.9</v>
      </c>
      <c r="V34" s="121">
        <f t="shared" si="12"/>
        <v>362541.9</v>
      </c>
      <c r="W34" s="122">
        <f t="shared" si="13"/>
        <v>362600</v>
      </c>
      <c r="X34" s="38">
        <f>W34+'проезд Лизе к бюджету 2018'!L35</f>
        <v>362600</v>
      </c>
      <c r="Y34" s="37" t="e">
        <f>#REF!+#REF!</f>
        <v>#REF!</v>
      </c>
      <c r="Z34" s="37" t="e">
        <f t="shared" si="27"/>
        <v>#REF!</v>
      </c>
      <c r="AA34" s="249">
        <v>222760</v>
      </c>
      <c r="AB34" s="242">
        <v>67340</v>
      </c>
      <c r="AC34" s="253">
        <f t="shared" si="15"/>
        <v>290100</v>
      </c>
      <c r="AD34" s="245">
        <f t="shared" si="16"/>
        <v>389830</v>
      </c>
      <c r="AE34" s="139"/>
      <c r="AF34" s="182">
        <v>0</v>
      </c>
      <c r="AG34" s="259"/>
      <c r="AH34" s="141">
        <f t="shared" si="17"/>
        <v>389830</v>
      </c>
      <c r="AI34" s="143">
        <f t="shared" si="18"/>
        <v>167070</v>
      </c>
      <c r="AJ34" s="125">
        <f>AF34-'проезд Лизе к бюджету 2018'!B35</f>
        <v>-1</v>
      </c>
      <c r="AK34" s="200">
        <f t="shared" si="19"/>
        <v>167070</v>
      </c>
      <c r="AL34" s="200">
        <f t="shared" si="20"/>
        <v>-67340</v>
      </c>
      <c r="AM34" s="200">
        <f t="shared" si="21"/>
        <v>99730</v>
      </c>
      <c r="AN34" s="204">
        <f t="shared" si="22"/>
        <v>167100</v>
      </c>
      <c r="AO34" s="204">
        <f t="shared" si="23"/>
        <v>-67340</v>
      </c>
      <c r="AP34" s="207">
        <f t="shared" si="28"/>
        <v>99760</v>
      </c>
      <c r="AQ34" s="154">
        <f t="shared" si="4"/>
        <v>99760</v>
      </c>
    </row>
    <row r="35" spans="1:43" ht="14.4" x14ac:dyDescent="0.3">
      <c r="A35" s="21" t="s">
        <v>22</v>
      </c>
      <c r="B35" s="133">
        <v>348</v>
      </c>
      <c r="C35" s="95">
        <v>3</v>
      </c>
      <c r="D35" s="116">
        <v>61</v>
      </c>
      <c r="E35" s="117">
        <v>49</v>
      </c>
      <c r="F35" s="103">
        <f t="shared" si="5"/>
        <v>-12</v>
      </c>
      <c r="G35" s="113">
        <v>3</v>
      </c>
      <c r="H35" s="110">
        <v>7</v>
      </c>
      <c r="I35" s="105">
        <f t="shared" si="6"/>
        <v>4</v>
      </c>
      <c r="J35" s="22">
        <f t="shared" si="0"/>
        <v>13</v>
      </c>
      <c r="K35" s="99">
        <f t="shared" si="0"/>
        <v>10</v>
      </c>
      <c r="L35" s="169">
        <f t="shared" si="7"/>
        <v>3</v>
      </c>
      <c r="M35" s="126">
        <f t="shared" si="25"/>
        <v>7</v>
      </c>
      <c r="N35" s="27">
        <v>3</v>
      </c>
      <c r="O35" s="119">
        <f t="shared" si="8"/>
        <v>83535</v>
      </c>
      <c r="P35" s="119">
        <f t="shared" si="9"/>
        <v>25227.57</v>
      </c>
      <c r="Q35" s="119">
        <f t="shared" si="1"/>
        <v>108762.57</v>
      </c>
      <c r="R35" s="24">
        <f t="shared" si="2"/>
        <v>4.4247787610619468E-3</v>
      </c>
      <c r="S35" s="120">
        <f t="shared" si="29"/>
        <v>2</v>
      </c>
      <c r="T35" s="121">
        <f t="shared" si="10"/>
        <v>55690</v>
      </c>
      <c r="U35" s="121">
        <f t="shared" si="11"/>
        <v>16818.38</v>
      </c>
      <c r="V35" s="121">
        <f t="shared" si="12"/>
        <v>72508.38</v>
      </c>
      <c r="W35" s="122">
        <f t="shared" si="13"/>
        <v>72600</v>
      </c>
      <c r="X35" s="38">
        <f>W35+'проезд Лизе к бюджету 2018'!L36</f>
        <v>145300</v>
      </c>
      <c r="Y35" s="37" t="e">
        <f>#REF!+#REF!</f>
        <v>#REF!</v>
      </c>
      <c r="Z35" s="37" t="e">
        <f t="shared" si="27"/>
        <v>#REF!</v>
      </c>
      <c r="AA35" s="249">
        <v>195025</v>
      </c>
      <c r="AB35" s="242">
        <v>59075</v>
      </c>
      <c r="AC35" s="253">
        <f t="shared" si="15"/>
        <v>254100</v>
      </c>
      <c r="AD35" s="245">
        <f t="shared" si="16"/>
        <v>194915</v>
      </c>
      <c r="AE35" s="139">
        <v>2900</v>
      </c>
      <c r="AF35" s="182">
        <v>12</v>
      </c>
      <c r="AG35" s="259">
        <v>14373.7</v>
      </c>
      <c r="AH35" s="141">
        <f t="shared" si="17"/>
        <v>226689</v>
      </c>
      <c r="AI35" s="143">
        <f t="shared" si="18"/>
        <v>31664</v>
      </c>
      <c r="AJ35" s="125">
        <f>AF35-'проезд Лизе к бюджету 2018'!B36</f>
        <v>9</v>
      </c>
      <c r="AK35" s="200">
        <f t="shared" si="19"/>
        <v>31664</v>
      </c>
      <c r="AL35" s="200">
        <f t="shared" si="20"/>
        <v>-59075</v>
      </c>
      <c r="AM35" s="200">
        <f t="shared" si="21"/>
        <v>-27411</v>
      </c>
      <c r="AN35" s="204">
        <f t="shared" si="22"/>
        <v>31700.000000000004</v>
      </c>
      <c r="AO35" s="204">
        <f t="shared" si="23"/>
        <v>-59075</v>
      </c>
      <c r="AP35" s="207">
        <f t="shared" si="28"/>
        <v>-27374.999999999996</v>
      </c>
      <c r="AQ35" s="154">
        <f t="shared" si="4"/>
        <v>-27374.999999999996</v>
      </c>
    </row>
    <row r="36" spans="1:43" ht="14.4" x14ac:dyDescent="0.3">
      <c r="A36" s="21" t="s">
        <v>23</v>
      </c>
      <c r="B36" s="132">
        <v>350</v>
      </c>
      <c r="C36" s="95">
        <v>1</v>
      </c>
      <c r="D36" s="116">
        <v>52</v>
      </c>
      <c r="E36" s="117">
        <v>52</v>
      </c>
      <c r="F36" s="103">
        <f t="shared" si="5"/>
        <v>0</v>
      </c>
      <c r="G36" s="113">
        <v>8</v>
      </c>
      <c r="H36" s="110">
        <v>6</v>
      </c>
      <c r="I36" s="105">
        <f t="shared" si="6"/>
        <v>-2</v>
      </c>
      <c r="J36" s="22">
        <f t="shared" ref="J36:K60" si="30">ROUNDUP(D36/5,0)</f>
        <v>11</v>
      </c>
      <c r="K36" s="99">
        <f t="shared" si="30"/>
        <v>11</v>
      </c>
      <c r="L36" s="169">
        <f t="shared" si="7"/>
        <v>5</v>
      </c>
      <c r="M36" s="126">
        <f t="shared" si="25"/>
        <v>6</v>
      </c>
      <c r="N36" s="27">
        <v>8</v>
      </c>
      <c r="O36" s="119">
        <f t="shared" si="8"/>
        <v>222760</v>
      </c>
      <c r="P36" s="119">
        <f t="shared" si="9"/>
        <v>67273.52</v>
      </c>
      <c r="Q36" s="119">
        <f t="shared" si="1"/>
        <v>290033.52</v>
      </c>
      <c r="R36" s="24">
        <f t="shared" si="2"/>
        <v>1.1799410029498525E-2</v>
      </c>
      <c r="S36" s="120">
        <f t="shared" si="29"/>
        <v>6</v>
      </c>
      <c r="T36" s="121">
        <f t="shared" si="10"/>
        <v>167070</v>
      </c>
      <c r="U36" s="121">
        <f t="shared" si="11"/>
        <v>50455.14</v>
      </c>
      <c r="V36" s="121">
        <f t="shared" si="12"/>
        <v>217525.14</v>
      </c>
      <c r="W36" s="122">
        <f t="shared" si="13"/>
        <v>217600</v>
      </c>
      <c r="X36" s="38">
        <f>W36+'проезд Лизе к бюджету 2018'!L37</f>
        <v>241900</v>
      </c>
      <c r="Y36" s="37" t="e">
        <f>#REF!+#REF!</f>
        <v>#REF!</v>
      </c>
      <c r="Z36" s="37" t="e">
        <f t="shared" si="27"/>
        <v>#REF!</v>
      </c>
      <c r="AA36" s="249">
        <v>241360</v>
      </c>
      <c r="AB36" s="242">
        <v>73040</v>
      </c>
      <c r="AC36" s="253">
        <f t="shared" si="15"/>
        <v>314400</v>
      </c>
      <c r="AD36" s="245">
        <f t="shared" si="16"/>
        <v>167070</v>
      </c>
      <c r="AE36" s="139">
        <v>1450</v>
      </c>
      <c r="AF36" s="182">
        <v>8</v>
      </c>
      <c r="AG36" s="259">
        <v>5755</v>
      </c>
      <c r="AH36" s="141">
        <f t="shared" si="17"/>
        <v>184425</v>
      </c>
      <c r="AI36" s="143">
        <f t="shared" si="18"/>
        <v>-56935</v>
      </c>
      <c r="AJ36" s="125">
        <f>AF36-'проезд Лизе к бюджету 2018'!B37</f>
        <v>8</v>
      </c>
      <c r="AK36" s="200">
        <f t="shared" si="19"/>
        <v>-56935</v>
      </c>
      <c r="AL36" s="200">
        <f t="shared" si="20"/>
        <v>-73040</v>
      </c>
      <c r="AM36" s="200">
        <f t="shared" si="21"/>
        <v>-129975</v>
      </c>
      <c r="AN36" s="204">
        <f t="shared" si="22"/>
        <v>-56900</v>
      </c>
      <c r="AO36" s="204">
        <f t="shared" si="23"/>
        <v>-73040</v>
      </c>
      <c r="AP36" s="207">
        <f t="shared" si="28"/>
        <v>-129940</v>
      </c>
      <c r="AQ36" s="154">
        <f t="shared" si="4"/>
        <v>-129940</v>
      </c>
    </row>
    <row r="37" spans="1:43" ht="14.4" x14ac:dyDescent="0.3">
      <c r="A37" s="21" t="s">
        <v>25</v>
      </c>
      <c r="B37" s="132">
        <v>458</v>
      </c>
      <c r="C37" s="95">
        <v>3</v>
      </c>
      <c r="D37" s="116">
        <v>58</v>
      </c>
      <c r="E37" s="117">
        <v>54</v>
      </c>
      <c r="F37" s="103">
        <f t="shared" si="5"/>
        <v>-4</v>
      </c>
      <c r="G37" s="113">
        <v>11</v>
      </c>
      <c r="H37" s="110">
        <v>11</v>
      </c>
      <c r="I37" s="105">
        <f t="shared" si="6"/>
        <v>0</v>
      </c>
      <c r="J37" s="22">
        <f t="shared" si="30"/>
        <v>12</v>
      </c>
      <c r="K37" s="99">
        <f t="shared" si="30"/>
        <v>11</v>
      </c>
      <c r="L37" s="169">
        <f t="shared" si="7"/>
        <v>0</v>
      </c>
      <c r="M37" s="126">
        <f t="shared" si="25"/>
        <v>11</v>
      </c>
      <c r="N37" s="25">
        <v>11</v>
      </c>
      <c r="O37" s="119">
        <f t="shared" si="8"/>
        <v>306295</v>
      </c>
      <c r="P37" s="119">
        <f t="shared" si="9"/>
        <v>92501.09</v>
      </c>
      <c r="Q37" s="119">
        <f t="shared" si="1"/>
        <v>398796.08999999997</v>
      </c>
      <c r="R37" s="24">
        <f t="shared" si="2"/>
        <v>1.6224188790560472E-2</v>
      </c>
      <c r="S37" s="120">
        <f t="shared" si="29"/>
        <v>8</v>
      </c>
      <c r="T37" s="121">
        <f t="shared" si="10"/>
        <v>222760</v>
      </c>
      <c r="U37" s="121">
        <f t="shared" si="11"/>
        <v>67273.52</v>
      </c>
      <c r="V37" s="121">
        <f t="shared" si="12"/>
        <v>290033.52</v>
      </c>
      <c r="W37" s="122">
        <f t="shared" si="13"/>
        <v>290100</v>
      </c>
      <c r="X37" s="38">
        <f>W37+'проезд Лизе к бюджету 2018'!L38</f>
        <v>338600</v>
      </c>
      <c r="Y37" s="37" t="e">
        <f>#REF!+#REF!</f>
        <v>#REF!</v>
      </c>
      <c r="Z37" s="37" t="e">
        <f t="shared" si="27"/>
        <v>#REF!</v>
      </c>
      <c r="AA37" s="249">
        <v>259960</v>
      </c>
      <c r="AB37" s="242">
        <v>78640</v>
      </c>
      <c r="AC37" s="253">
        <f t="shared" si="15"/>
        <v>338600</v>
      </c>
      <c r="AD37" s="245">
        <f t="shared" si="16"/>
        <v>306295</v>
      </c>
      <c r="AE37" s="139">
        <v>2900</v>
      </c>
      <c r="AF37" s="182">
        <v>16</v>
      </c>
      <c r="AG37" s="259">
        <v>11550</v>
      </c>
      <c r="AH37" s="141">
        <f t="shared" si="17"/>
        <v>341045</v>
      </c>
      <c r="AI37" s="143">
        <f t="shared" si="18"/>
        <v>81085</v>
      </c>
      <c r="AJ37" s="125">
        <f>AF37-'проезд Лизе к бюджету 2018'!B38</f>
        <v>16</v>
      </c>
      <c r="AK37" s="200">
        <f t="shared" si="19"/>
        <v>81085</v>
      </c>
      <c r="AL37" s="200">
        <f t="shared" si="20"/>
        <v>-78640</v>
      </c>
      <c r="AM37" s="200">
        <f t="shared" si="21"/>
        <v>2445</v>
      </c>
      <c r="AN37" s="204">
        <f t="shared" si="22"/>
        <v>81100</v>
      </c>
      <c r="AO37" s="204">
        <f t="shared" si="23"/>
        <v>-78640</v>
      </c>
      <c r="AP37" s="207">
        <f t="shared" si="28"/>
        <v>2460</v>
      </c>
      <c r="AQ37" s="154">
        <f t="shared" si="4"/>
        <v>2460</v>
      </c>
    </row>
    <row r="38" spans="1:43" ht="14.4" x14ac:dyDescent="0.3">
      <c r="A38" s="21" t="s">
        <v>26</v>
      </c>
      <c r="B38" s="132">
        <v>497</v>
      </c>
      <c r="C38" s="95">
        <v>2</v>
      </c>
      <c r="D38" s="116">
        <v>46</v>
      </c>
      <c r="E38" s="117">
        <v>43</v>
      </c>
      <c r="F38" s="103">
        <f t="shared" si="5"/>
        <v>-3</v>
      </c>
      <c r="G38" s="113">
        <v>10</v>
      </c>
      <c r="H38" s="110">
        <v>10</v>
      </c>
      <c r="I38" s="105">
        <f t="shared" si="6"/>
        <v>0</v>
      </c>
      <c r="J38" s="22">
        <f t="shared" si="30"/>
        <v>10</v>
      </c>
      <c r="K38" s="99">
        <f t="shared" si="30"/>
        <v>9</v>
      </c>
      <c r="L38" s="169">
        <f t="shared" si="7"/>
        <v>-1</v>
      </c>
      <c r="M38" s="178">
        <f>IF(H38&gt;K38,K38,H38)+1</f>
        <v>10</v>
      </c>
      <c r="N38" s="25">
        <v>2</v>
      </c>
      <c r="O38" s="119">
        <f t="shared" si="8"/>
        <v>55690</v>
      </c>
      <c r="P38" s="119">
        <f t="shared" si="9"/>
        <v>16818.38</v>
      </c>
      <c r="Q38" s="119">
        <f t="shared" si="1"/>
        <v>72508.38</v>
      </c>
      <c r="R38" s="24">
        <f t="shared" si="2"/>
        <v>2.9498525073746312E-3</v>
      </c>
      <c r="S38" s="120">
        <f t="shared" si="29"/>
        <v>1</v>
      </c>
      <c r="T38" s="121">
        <f t="shared" si="10"/>
        <v>27845</v>
      </c>
      <c r="U38" s="121">
        <f t="shared" si="11"/>
        <v>8409.19</v>
      </c>
      <c r="V38" s="121">
        <f t="shared" si="12"/>
        <v>36254.19</v>
      </c>
      <c r="W38" s="122">
        <f t="shared" si="13"/>
        <v>36300.000000000007</v>
      </c>
      <c r="X38" s="38">
        <f>W38+'проезд Лизе к бюджету 2018'!L39</f>
        <v>84800</v>
      </c>
      <c r="Y38" s="37" t="e">
        <f>#REF!+#REF!</f>
        <v>#REF!</v>
      </c>
      <c r="Z38" s="37" t="e">
        <f t="shared" si="27"/>
        <v>#REF!</v>
      </c>
      <c r="AA38" s="249">
        <v>92890</v>
      </c>
      <c r="AB38" s="242">
        <v>28210</v>
      </c>
      <c r="AC38" s="253">
        <f t="shared" si="15"/>
        <v>121100</v>
      </c>
      <c r="AD38" s="245">
        <f t="shared" si="16"/>
        <v>278450</v>
      </c>
      <c r="AE38" s="139">
        <v>2900</v>
      </c>
      <c r="AF38" s="182">
        <v>16</v>
      </c>
      <c r="AG38" s="259">
        <v>11522.5</v>
      </c>
      <c r="AH38" s="141">
        <f t="shared" si="17"/>
        <v>313173</v>
      </c>
      <c r="AI38" s="143">
        <f t="shared" si="18"/>
        <v>220283</v>
      </c>
      <c r="AJ38" s="125">
        <f>AF38-'проезд Лизе к бюджету 2018'!B39</f>
        <v>16</v>
      </c>
      <c r="AK38" s="200">
        <f t="shared" si="19"/>
        <v>220283</v>
      </c>
      <c r="AL38" s="200">
        <f t="shared" si="20"/>
        <v>-28210</v>
      </c>
      <c r="AM38" s="200">
        <f t="shared" si="21"/>
        <v>192073</v>
      </c>
      <c r="AN38" s="204">
        <f t="shared" si="22"/>
        <v>220299.99999999997</v>
      </c>
      <c r="AO38" s="204">
        <f t="shared" si="23"/>
        <v>-28210</v>
      </c>
      <c r="AP38" s="207">
        <f t="shared" si="28"/>
        <v>192089.99999999997</v>
      </c>
      <c r="AQ38" s="154">
        <f t="shared" si="4"/>
        <v>192089.99999999997</v>
      </c>
    </row>
    <row r="39" spans="1:43" ht="14.4" x14ac:dyDescent="0.3">
      <c r="A39" s="21" t="s">
        <v>8</v>
      </c>
      <c r="B39" s="132">
        <v>498</v>
      </c>
      <c r="C39" s="95">
        <v>1</v>
      </c>
      <c r="D39" s="106">
        <v>65</v>
      </c>
      <c r="E39" s="176">
        <v>65</v>
      </c>
      <c r="F39" s="103">
        <f t="shared" si="5"/>
        <v>0</v>
      </c>
      <c r="G39" s="111">
        <v>13</v>
      </c>
      <c r="H39" s="104">
        <v>16</v>
      </c>
      <c r="I39" s="105">
        <f t="shared" si="6"/>
        <v>3</v>
      </c>
      <c r="J39" s="22">
        <f t="shared" si="30"/>
        <v>13</v>
      </c>
      <c r="K39" s="170">
        <f t="shared" si="30"/>
        <v>13</v>
      </c>
      <c r="L39" s="169">
        <f t="shared" si="7"/>
        <v>-3</v>
      </c>
      <c r="M39" s="126">
        <f t="shared" si="25"/>
        <v>13</v>
      </c>
      <c r="N39" s="27">
        <v>13</v>
      </c>
      <c r="O39" s="119">
        <f t="shared" si="8"/>
        <v>361985</v>
      </c>
      <c r="P39" s="119">
        <f t="shared" si="9"/>
        <v>109319.47</v>
      </c>
      <c r="Q39" s="119">
        <f t="shared" si="1"/>
        <v>471304.47</v>
      </c>
      <c r="R39" s="24">
        <f t="shared" si="2"/>
        <v>1.9174041297935103E-2</v>
      </c>
      <c r="S39" s="120">
        <f t="shared" si="29"/>
        <v>10</v>
      </c>
      <c r="T39" s="121">
        <f t="shared" si="10"/>
        <v>278450</v>
      </c>
      <c r="U39" s="121">
        <f t="shared" si="11"/>
        <v>84091.9</v>
      </c>
      <c r="V39" s="121">
        <f t="shared" si="12"/>
        <v>362541.9</v>
      </c>
      <c r="W39" s="122">
        <f t="shared" si="13"/>
        <v>362600</v>
      </c>
      <c r="X39" s="38">
        <f>W39+'проезд Лизе к бюджету 2018'!L40</f>
        <v>411100</v>
      </c>
      <c r="Y39" s="37" t="e">
        <f>#REF!+#REF!</f>
        <v>#REF!</v>
      </c>
      <c r="Z39" s="37" t="e">
        <f t="shared" si="27"/>
        <v>#REF!</v>
      </c>
      <c r="AA39" s="249">
        <v>315650</v>
      </c>
      <c r="AB39" s="242">
        <v>95450</v>
      </c>
      <c r="AC39" s="253">
        <f t="shared" si="15"/>
        <v>411100</v>
      </c>
      <c r="AD39" s="245">
        <f t="shared" si="16"/>
        <v>361985</v>
      </c>
      <c r="AE39" s="139">
        <v>1441.83</v>
      </c>
      <c r="AF39" s="196">
        <f>1*8</f>
        <v>8</v>
      </c>
      <c r="AG39" s="259">
        <v>1441.83</v>
      </c>
      <c r="AH39" s="141">
        <f t="shared" si="17"/>
        <v>375027</v>
      </c>
      <c r="AI39" s="143">
        <f t="shared" si="18"/>
        <v>59377</v>
      </c>
      <c r="AJ39" s="125">
        <f>AF39-'проезд Лизе к бюджету 2018'!B40</f>
        <v>4</v>
      </c>
      <c r="AK39" s="200">
        <f t="shared" si="19"/>
        <v>59377</v>
      </c>
      <c r="AL39" s="200">
        <f t="shared" si="20"/>
        <v>-95450</v>
      </c>
      <c r="AM39" s="200">
        <f t="shared" si="21"/>
        <v>-36073</v>
      </c>
      <c r="AN39" s="204">
        <f t="shared" si="22"/>
        <v>59400</v>
      </c>
      <c r="AO39" s="204">
        <f t="shared" si="23"/>
        <v>-95450</v>
      </c>
      <c r="AP39" s="207">
        <f t="shared" si="28"/>
        <v>-36050</v>
      </c>
      <c r="AQ39" s="154">
        <f t="shared" si="4"/>
        <v>-36050</v>
      </c>
    </row>
    <row r="40" spans="1:43" ht="14.4" x14ac:dyDescent="0.3">
      <c r="A40" s="21" t="s">
        <v>27</v>
      </c>
      <c r="B40" s="132">
        <v>512</v>
      </c>
      <c r="C40" s="95">
        <v>1</v>
      </c>
      <c r="D40" s="106">
        <v>50</v>
      </c>
      <c r="E40" s="101">
        <v>50</v>
      </c>
      <c r="F40" s="103">
        <f t="shared" si="5"/>
        <v>0</v>
      </c>
      <c r="G40" s="111">
        <v>13</v>
      </c>
      <c r="H40" s="104">
        <v>11</v>
      </c>
      <c r="I40" s="105">
        <f t="shared" si="6"/>
        <v>-2</v>
      </c>
      <c r="J40" s="22">
        <f t="shared" si="30"/>
        <v>10</v>
      </c>
      <c r="K40" s="170">
        <f t="shared" si="30"/>
        <v>10</v>
      </c>
      <c r="L40" s="169">
        <f t="shared" si="7"/>
        <v>-1</v>
      </c>
      <c r="M40" s="126">
        <f t="shared" si="25"/>
        <v>10</v>
      </c>
      <c r="N40" s="27">
        <v>10</v>
      </c>
      <c r="O40" s="119">
        <f t="shared" si="8"/>
        <v>278450</v>
      </c>
      <c r="P40" s="119">
        <f t="shared" si="9"/>
        <v>84091.9</v>
      </c>
      <c r="Q40" s="119">
        <f t="shared" si="1"/>
        <v>362541.9</v>
      </c>
      <c r="R40" s="24">
        <f t="shared" si="2"/>
        <v>1.4749262536873156E-2</v>
      </c>
      <c r="S40" s="120">
        <f t="shared" si="29"/>
        <v>7</v>
      </c>
      <c r="T40" s="121">
        <f t="shared" si="10"/>
        <v>194915</v>
      </c>
      <c r="U40" s="121">
        <f t="shared" si="11"/>
        <v>58864.33</v>
      </c>
      <c r="V40" s="121">
        <f t="shared" si="12"/>
        <v>253779.33000000002</v>
      </c>
      <c r="W40" s="122">
        <f t="shared" si="13"/>
        <v>253799.99999999997</v>
      </c>
      <c r="X40" s="38">
        <f>W40+'проезд Лизе к бюджету 2018'!L41</f>
        <v>278100</v>
      </c>
      <c r="Y40" s="37" t="e">
        <f>#REF!+#REF!</f>
        <v>#REF!</v>
      </c>
      <c r="Z40" s="37" t="e">
        <f t="shared" si="27"/>
        <v>#REF!</v>
      </c>
      <c r="AA40" s="249">
        <v>157825</v>
      </c>
      <c r="AB40" s="242">
        <v>47875</v>
      </c>
      <c r="AC40" s="253">
        <f t="shared" si="15"/>
        <v>205700</v>
      </c>
      <c r="AD40" s="245">
        <f t="shared" si="16"/>
        <v>278450</v>
      </c>
      <c r="AE40" s="139">
        <v>1450</v>
      </c>
      <c r="AF40" s="182">
        <v>8</v>
      </c>
      <c r="AG40" s="259">
        <v>5782.5</v>
      </c>
      <c r="AH40" s="141">
        <f t="shared" si="17"/>
        <v>295833</v>
      </c>
      <c r="AI40" s="143">
        <f t="shared" si="18"/>
        <v>138008</v>
      </c>
      <c r="AJ40" s="125">
        <f>AF40-'проезд Лизе к бюджету 2018'!B41</f>
        <v>7</v>
      </c>
      <c r="AK40" s="200">
        <f t="shared" si="19"/>
        <v>138008</v>
      </c>
      <c r="AL40" s="200">
        <f t="shared" si="20"/>
        <v>-47875</v>
      </c>
      <c r="AM40" s="200">
        <f t="shared" si="21"/>
        <v>90133</v>
      </c>
      <c r="AN40" s="204">
        <f t="shared" si="22"/>
        <v>138100</v>
      </c>
      <c r="AO40" s="204">
        <f t="shared" si="23"/>
        <v>-47875</v>
      </c>
      <c r="AP40" s="207">
        <f t="shared" si="28"/>
        <v>90225</v>
      </c>
      <c r="AQ40" s="154">
        <f t="shared" si="4"/>
        <v>90225</v>
      </c>
    </row>
    <row r="41" spans="1:43" ht="14.4" x14ac:dyDescent="0.3">
      <c r="A41" s="21" t="s">
        <v>28</v>
      </c>
      <c r="B41" s="132">
        <v>513</v>
      </c>
      <c r="C41" s="95">
        <v>6</v>
      </c>
      <c r="D41" s="106">
        <v>73</v>
      </c>
      <c r="E41" s="101">
        <v>75</v>
      </c>
      <c r="F41" s="103">
        <f t="shared" si="5"/>
        <v>2</v>
      </c>
      <c r="G41" s="111">
        <v>17</v>
      </c>
      <c r="H41" s="104">
        <v>15</v>
      </c>
      <c r="I41" s="105">
        <f t="shared" si="6"/>
        <v>-2</v>
      </c>
      <c r="J41" s="22">
        <f t="shared" si="30"/>
        <v>15</v>
      </c>
      <c r="K41" s="99">
        <f t="shared" si="30"/>
        <v>15</v>
      </c>
      <c r="L41" s="169">
        <f t="shared" si="7"/>
        <v>0</v>
      </c>
      <c r="M41" s="126">
        <f t="shared" si="25"/>
        <v>15</v>
      </c>
      <c r="N41" s="27">
        <v>15</v>
      </c>
      <c r="O41" s="119">
        <f t="shared" si="8"/>
        <v>417675</v>
      </c>
      <c r="P41" s="119">
        <f t="shared" si="9"/>
        <v>126137.84999999999</v>
      </c>
      <c r="Q41" s="119">
        <f t="shared" si="1"/>
        <v>543812.85</v>
      </c>
      <c r="R41" s="24">
        <f t="shared" si="2"/>
        <v>2.2123893805309734E-2</v>
      </c>
      <c r="S41" s="120">
        <f>ROUND(R41*$O$83,0)-1</f>
        <v>10</v>
      </c>
      <c r="T41" s="121">
        <f t="shared" si="10"/>
        <v>278450</v>
      </c>
      <c r="U41" s="121">
        <f t="shared" si="11"/>
        <v>84091.9</v>
      </c>
      <c r="V41" s="121">
        <f t="shared" si="12"/>
        <v>362541.9</v>
      </c>
      <c r="W41" s="122">
        <f t="shared" si="13"/>
        <v>362600</v>
      </c>
      <c r="X41" s="38">
        <f>W41+'проезд Лизе к бюджету 2018'!L42</f>
        <v>556400</v>
      </c>
      <c r="Y41" s="37" t="e">
        <f>#REF!+#REF!</f>
        <v>#REF!</v>
      </c>
      <c r="Z41" s="37" t="e">
        <f t="shared" si="27"/>
        <v>#REF!</v>
      </c>
      <c r="AA41" s="249">
        <v>482940</v>
      </c>
      <c r="AB41" s="242">
        <v>145060</v>
      </c>
      <c r="AC41" s="253">
        <f t="shared" si="15"/>
        <v>628000</v>
      </c>
      <c r="AD41" s="245">
        <f t="shared" si="16"/>
        <v>417675</v>
      </c>
      <c r="AE41" s="139">
        <v>10150</v>
      </c>
      <c r="AF41" s="182">
        <v>42</v>
      </c>
      <c r="AG41" s="259">
        <v>43375.3</v>
      </c>
      <c r="AH41" s="141">
        <f t="shared" si="17"/>
        <v>521951</v>
      </c>
      <c r="AI41" s="143">
        <f t="shared" si="18"/>
        <v>39011</v>
      </c>
      <c r="AJ41" s="125">
        <f>AF41-'проезд Лизе к бюджету 2018'!B42</f>
        <v>35</v>
      </c>
      <c r="AK41" s="200">
        <f t="shared" si="19"/>
        <v>39011</v>
      </c>
      <c r="AL41" s="200">
        <f t="shared" si="20"/>
        <v>-145060</v>
      </c>
      <c r="AM41" s="200">
        <f t="shared" si="21"/>
        <v>-106049</v>
      </c>
      <c r="AN41" s="204">
        <f t="shared" si="22"/>
        <v>39100</v>
      </c>
      <c r="AO41" s="204">
        <f t="shared" si="23"/>
        <v>-145060</v>
      </c>
      <c r="AP41" s="207">
        <f t="shared" si="28"/>
        <v>-105960</v>
      </c>
      <c r="AQ41" s="154">
        <f t="shared" si="4"/>
        <v>-105960</v>
      </c>
    </row>
    <row r="42" spans="1:43" ht="14.4" x14ac:dyDescent="0.3">
      <c r="A42" s="21" t="s">
        <v>29</v>
      </c>
      <c r="B42" s="132">
        <v>516</v>
      </c>
      <c r="C42" s="95">
        <v>2</v>
      </c>
      <c r="D42" s="106">
        <v>45</v>
      </c>
      <c r="E42" s="101">
        <v>38</v>
      </c>
      <c r="F42" s="103">
        <f t="shared" si="5"/>
        <v>-7</v>
      </c>
      <c r="G42" s="111">
        <v>9</v>
      </c>
      <c r="H42" s="104">
        <v>7</v>
      </c>
      <c r="I42" s="105">
        <f t="shared" si="6"/>
        <v>-2</v>
      </c>
      <c r="J42" s="22">
        <f t="shared" si="30"/>
        <v>9</v>
      </c>
      <c r="K42" s="99">
        <f t="shared" si="30"/>
        <v>8</v>
      </c>
      <c r="L42" s="169">
        <f t="shared" si="7"/>
        <v>1</v>
      </c>
      <c r="M42" s="126">
        <f t="shared" si="25"/>
        <v>7</v>
      </c>
      <c r="N42" s="27">
        <v>9</v>
      </c>
      <c r="O42" s="119">
        <f t="shared" si="8"/>
        <v>250605</v>
      </c>
      <c r="P42" s="119">
        <f t="shared" si="9"/>
        <v>75682.709999999992</v>
      </c>
      <c r="Q42" s="119">
        <f t="shared" si="1"/>
        <v>326287.70999999996</v>
      </c>
      <c r="R42" s="24">
        <f t="shared" si="2"/>
        <v>1.3274336283185841E-2</v>
      </c>
      <c r="S42" s="120">
        <f>ROUND(R42*$O$83,0)</f>
        <v>7</v>
      </c>
      <c r="T42" s="121">
        <f t="shared" si="10"/>
        <v>194915</v>
      </c>
      <c r="U42" s="121">
        <f t="shared" si="11"/>
        <v>58864.33</v>
      </c>
      <c r="V42" s="121">
        <f t="shared" si="12"/>
        <v>253779.33000000002</v>
      </c>
      <c r="W42" s="122">
        <f t="shared" si="13"/>
        <v>253799.99999999997</v>
      </c>
      <c r="X42" s="38">
        <f>W42+'проезд Лизе к бюджету 2018'!L43</f>
        <v>350699.99999999994</v>
      </c>
      <c r="Y42" s="37" t="e">
        <f>#REF!+#REF!</f>
        <v>#REF!</v>
      </c>
      <c r="Z42" s="37" t="e">
        <f t="shared" si="27"/>
        <v>#REF!</v>
      </c>
      <c r="AA42" s="249">
        <v>213625</v>
      </c>
      <c r="AB42" s="242">
        <v>64675</v>
      </c>
      <c r="AC42" s="253">
        <f t="shared" si="15"/>
        <v>278300</v>
      </c>
      <c r="AD42" s="245">
        <f t="shared" si="16"/>
        <v>194915</v>
      </c>
      <c r="AE42" s="139">
        <v>5800</v>
      </c>
      <c r="AF42" s="182">
        <v>32</v>
      </c>
      <c r="AG42" s="259">
        <v>23108.3</v>
      </c>
      <c r="AH42" s="141">
        <f t="shared" si="17"/>
        <v>264424</v>
      </c>
      <c r="AI42" s="143">
        <f t="shared" si="18"/>
        <v>50799</v>
      </c>
      <c r="AJ42" s="125">
        <f>AF42-'проезд Лизе к бюджету 2018'!B43</f>
        <v>29</v>
      </c>
      <c r="AK42" s="200">
        <f t="shared" si="19"/>
        <v>50799</v>
      </c>
      <c r="AL42" s="200">
        <f t="shared" si="20"/>
        <v>-64675</v>
      </c>
      <c r="AM42" s="200">
        <f t="shared" si="21"/>
        <v>-13876</v>
      </c>
      <c r="AN42" s="204">
        <f t="shared" si="22"/>
        <v>50800.000000000007</v>
      </c>
      <c r="AO42" s="204">
        <f t="shared" si="23"/>
        <v>-64675</v>
      </c>
      <c r="AP42" s="207">
        <f t="shared" si="28"/>
        <v>-13874.999999999993</v>
      </c>
      <c r="AQ42" s="154">
        <f t="shared" si="4"/>
        <v>-13874.999999999993</v>
      </c>
    </row>
    <row r="43" spans="1:43" ht="14.4" x14ac:dyDescent="0.3">
      <c r="A43" s="21" t="s">
        <v>30</v>
      </c>
      <c r="B43" s="132">
        <v>527</v>
      </c>
      <c r="C43" s="95">
        <v>1</v>
      </c>
      <c r="D43" s="106">
        <v>39</v>
      </c>
      <c r="E43" s="101">
        <v>39</v>
      </c>
      <c r="F43" s="103">
        <f t="shared" si="5"/>
        <v>0</v>
      </c>
      <c r="G43" s="111">
        <v>8</v>
      </c>
      <c r="H43" s="104">
        <v>8</v>
      </c>
      <c r="I43" s="105">
        <f t="shared" si="6"/>
        <v>0</v>
      </c>
      <c r="J43" s="22">
        <f t="shared" si="30"/>
        <v>8</v>
      </c>
      <c r="K43" s="99">
        <f t="shared" si="30"/>
        <v>8</v>
      </c>
      <c r="L43" s="169">
        <f t="shared" si="7"/>
        <v>0</v>
      </c>
      <c r="M43" s="126">
        <f t="shared" si="25"/>
        <v>8</v>
      </c>
      <c r="N43" s="27">
        <v>8</v>
      </c>
      <c r="O43" s="119">
        <f t="shared" si="8"/>
        <v>222760</v>
      </c>
      <c r="P43" s="119">
        <f t="shared" si="9"/>
        <v>67273.52</v>
      </c>
      <c r="Q43" s="119">
        <f t="shared" si="1"/>
        <v>290033.52</v>
      </c>
      <c r="R43" s="24">
        <f t="shared" si="2"/>
        <v>1.1799410029498525E-2</v>
      </c>
      <c r="S43" s="120">
        <f>ROUND(R43*$O$83,0)</f>
        <v>6</v>
      </c>
      <c r="T43" s="121">
        <f t="shared" si="10"/>
        <v>167070</v>
      </c>
      <c r="U43" s="121">
        <f t="shared" si="11"/>
        <v>50455.14</v>
      </c>
      <c r="V43" s="121">
        <f t="shared" si="12"/>
        <v>217525.14</v>
      </c>
      <c r="W43" s="122">
        <f t="shared" si="13"/>
        <v>217600</v>
      </c>
      <c r="X43" s="38">
        <f>W43+'проезд Лизе к бюджету 2018'!L44</f>
        <v>217600</v>
      </c>
      <c r="Y43" s="37" t="e">
        <f>#REF!+#REF!</f>
        <v>#REF!</v>
      </c>
      <c r="Z43" s="37" t="e">
        <f t="shared" si="27"/>
        <v>#REF!</v>
      </c>
      <c r="AA43" s="249">
        <v>167070</v>
      </c>
      <c r="AB43" s="242">
        <v>50530</v>
      </c>
      <c r="AC43" s="253">
        <f t="shared" si="15"/>
        <v>217600</v>
      </c>
      <c r="AD43" s="245">
        <f t="shared" si="16"/>
        <v>222760</v>
      </c>
      <c r="AE43" s="139"/>
      <c r="AF43" s="182">
        <v>0</v>
      </c>
      <c r="AG43" s="259"/>
      <c r="AH43" s="141">
        <f t="shared" si="17"/>
        <v>222760</v>
      </c>
      <c r="AI43" s="143">
        <f t="shared" si="18"/>
        <v>55690</v>
      </c>
      <c r="AJ43" s="125">
        <f>AF43-'проезд Лизе к бюджету 2018'!B44</f>
        <v>-1</v>
      </c>
      <c r="AK43" s="200">
        <f t="shared" si="19"/>
        <v>55690</v>
      </c>
      <c r="AL43" s="200">
        <f t="shared" si="20"/>
        <v>-50530</v>
      </c>
      <c r="AM43" s="200">
        <f t="shared" si="21"/>
        <v>5160</v>
      </c>
      <c r="AN43" s="204">
        <f t="shared" si="22"/>
        <v>55700</v>
      </c>
      <c r="AO43" s="204">
        <f t="shared" si="23"/>
        <v>-50530</v>
      </c>
      <c r="AP43" s="207">
        <f t="shared" si="28"/>
        <v>5170</v>
      </c>
      <c r="AQ43" s="154">
        <f t="shared" si="4"/>
        <v>5170</v>
      </c>
    </row>
    <row r="44" spans="1:43" ht="14.4" x14ac:dyDescent="0.3">
      <c r="A44" s="21" t="s">
        <v>38</v>
      </c>
      <c r="B44" s="132">
        <v>528</v>
      </c>
      <c r="C44" s="95">
        <v>1</v>
      </c>
      <c r="D44" s="116">
        <v>86</v>
      </c>
      <c r="E44" s="177">
        <v>86</v>
      </c>
      <c r="F44" s="103">
        <f t="shared" si="5"/>
        <v>0</v>
      </c>
      <c r="G44" s="113">
        <v>20</v>
      </c>
      <c r="H44" s="110">
        <v>20</v>
      </c>
      <c r="I44" s="105">
        <f t="shared" si="6"/>
        <v>0</v>
      </c>
      <c r="J44" s="22">
        <f t="shared" si="30"/>
        <v>18</v>
      </c>
      <c r="K44" s="170">
        <f t="shared" si="30"/>
        <v>18</v>
      </c>
      <c r="L44" s="169">
        <f t="shared" si="7"/>
        <v>-2</v>
      </c>
      <c r="M44" s="126">
        <f t="shared" si="25"/>
        <v>18</v>
      </c>
      <c r="N44" s="27">
        <v>18</v>
      </c>
      <c r="O44" s="119">
        <f t="shared" si="8"/>
        <v>501210</v>
      </c>
      <c r="P44" s="119">
        <f t="shared" si="9"/>
        <v>151365.41999999998</v>
      </c>
      <c r="Q44" s="119">
        <f t="shared" si="1"/>
        <v>652575.41999999993</v>
      </c>
      <c r="R44" s="24">
        <f t="shared" si="2"/>
        <v>2.6548672566371681E-2</v>
      </c>
      <c r="S44" s="120">
        <f>ROUND(R44*$O$83,0)-1</f>
        <v>12</v>
      </c>
      <c r="T44" s="121">
        <f t="shared" si="10"/>
        <v>334140</v>
      </c>
      <c r="U44" s="121">
        <f t="shared" si="11"/>
        <v>100910.28</v>
      </c>
      <c r="V44" s="121">
        <f t="shared" si="12"/>
        <v>435050.28</v>
      </c>
      <c r="W44" s="122">
        <f t="shared" si="13"/>
        <v>435100</v>
      </c>
      <c r="X44" s="38">
        <f>W44+'проезд Лизе к бюджету 2018'!L45</f>
        <v>459400</v>
      </c>
      <c r="Y44" s="37" t="e">
        <f>#REF!+#REF!</f>
        <v>#REF!</v>
      </c>
      <c r="Z44" s="37" t="e">
        <f t="shared" si="27"/>
        <v>#REF!</v>
      </c>
      <c r="AA44" s="249">
        <v>380585</v>
      </c>
      <c r="AB44" s="242">
        <v>115115</v>
      </c>
      <c r="AC44" s="253">
        <f t="shared" si="15"/>
        <v>495700</v>
      </c>
      <c r="AD44" s="245">
        <f t="shared" si="16"/>
        <v>501210</v>
      </c>
      <c r="AE44" s="139">
        <v>1449.5</v>
      </c>
      <c r="AF44" s="195">
        <f>1*8</f>
        <v>8</v>
      </c>
      <c r="AG44" s="259">
        <v>5800</v>
      </c>
      <c r="AH44" s="141">
        <f t="shared" si="17"/>
        <v>518610</v>
      </c>
      <c r="AI44" s="143">
        <f t="shared" si="18"/>
        <v>138025</v>
      </c>
      <c r="AJ44" s="125">
        <f>AF44-'проезд Лизе к бюджету 2018'!B45</f>
        <v>7</v>
      </c>
      <c r="AK44" s="200">
        <f t="shared" si="19"/>
        <v>138025</v>
      </c>
      <c r="AL44" s="200">
        <f t="shared" si="20"/>
        <v>-115115</v>
      </c>
      <c r="AM44" s="200">
        <f t="shared" si="21"/>
        <v>22910</v>
      </c>
      <c r="AN44" s="204">
        <f t="shared" si="22"/>
        <v>138100</v>
      </c>
      <c r="AO44" s="204">
        <f t="shared" si="23"/>
        <v>-115115</v>
      </c>
      <c r="AP44" s="207">
        <f t="shared" si="28"/>
        <v>22985</v>
      </c>
      <c r="AQ44" s="154">
        <f t="shared" si="4"/>
        <v>22985</v>
      </c>
    </row>
    <row r="45" spans="1:43" ht="14.4" x14ac:dyDescent="0.3">
      <c r="A45" s="21" t="s">
        <v>49</v>
      </c>
      <c r="B45" s="132">
        <v>557</v>
      </c>
      <c r="C45" s="95">
        <v>1</v>
      </c>
      <c r="D45" s="116">
        <v>47</v>
      </c>
      <c r="E45" s="117">
        <v>45</v>
      </c>
      <c r="F45" s="103">
        <f t="shared" si="5"/>
        <v>-2</v>
      </c>
      <c r="G45" s="113">
        <v>15</v>
      </c>
      <c r="H45" s="110">
        <v>9</v>
      </c>
      <c r="I45" s="105">
        <f t="shared" si="6"/>
        <v>-6</v>
      </c>
      <c r="J45" s="22">
        <f t="shared" si="30"/>
        <v>10</v>
      </c>
      <c r="K45" s="99">
        <f t="shared" si="30"/>
        <v>9</v>
      </c>
      <c r="L45" s="169">
        <f t="shared" si="7"/>
        <v>0</v>
      </c>
      <c r="M45" s="126">
        <f t="shared" si="25"/>
        <v>9</v>
      </c>
      <c r="N45" s="27">
        <v>10</v>
      </c>
      <c r="O45" s="119">
        <f t="shared" si="8"/>
        <v>278450</v>
      </c>
      <c r="P45" s="119">
        <f t="shared" si="9"/>
        <v>84091.9</v>
      </c>
      <c r="Q45" s="119">
        <f t="shared" si="1"/>
        <v>362541.9</v>
      </c>
      <c r="R45" s="24">
        <f t="shared" si="2"/>
        <v>1.4749262536873156E-2</v>
      </c>
      <c r="S45" s="120">
        <f t="shared" ref="S45:S54" si="31">ROUND(R45*$O$83,0)</f>
        <v>7</v>
      </c>
      <c r="T45" s="121">
        <f t="shared" si="10"/>
        <v>194915</v>
      </c>
      <c r="U45" s="121">
        <f t="shared" si="11"/>
        <v>58864.33</v>
      </c>
      <c r="V45" s="121">
        <f t="shared" si="12"/>
        <v>253779.33000000002</v>
      </c>
      <c r="W45" s="122">
        <f t="shared" si="13"/>
        <v>253799.99999999997</v>
      </c>
      <c r="X45" s="38">
        <f>W45+'проезд Лизе к бюджету 2018'!L46</f>
        <v>302300</v>
      </c>
      <c r="Y45" s="37" t="e">
        <f>#REF!+#REF!</f>
        <v>#REF!</v>
      </c>
      <c r="Z45" s="37" t="e">
        <f t="shared" si="27"/>
        <v>#REF!</v>
      </c>
      <c r="AA45" s="249">
        <v>259960</v>
      </c>
      <c r="AB45" s="242">
        <v>78640</v>
      </c>
      <c r="AC45" s="253">
        <f t="shared" si="15"/>
        <v>338600</v>
      </c>
      <c r="AD45" s="245">
        <f t="shared" si="16"/>
        <v>250605</v>
      </c>
      <c r="AE45" s="139">
        <v>2900</v>
      </c>
      <c r="AF45" s="182">
        <v>8</v>
      </c>
      <c r="AG45" s="259">
        <v>11520.4</v>
      </c>
      <c r="AH45" s="141">
        <f t="shared" si="17"/>
        <v>273726</v>
      </c>
      <c r="AI45" s="143">
        <f t="shared" si="18"/>
        <v>13766</v>
      </c>
      <c r="AJ45" s="125">
        <f>AF45-'проезд Лизе к бюджету 2018'!B46</f>
        <v>7</v>
      </c>
      <c r="AK45" s="200">
        <f t="shared" si="19"/>
        <v>13766</v>
      </c>
      <c r="AL45" s="200">
        <f t="shared" si="20"/>
        <v>-78640</v>
      </c>
      <c r="AM45" s="200">
        <f t="shared" si="21"/>
        <v>-64874</v>
      </c>
      <c r="AN45" s="204">
        <f t="shared" si="22"/>
        <v>13799.999999999998</v>
      </c>
      <c r="AO45" s="204">
        <f t="shared" si="23"/>
        <v>-78640</v>
      </c>
      <c r="AP45" s="207">
        <f t="shared" si="28"/>
        <v>-64840</v>
      </c>
      <c r="AQ45" s="154">
        <f t="shared" si="4"/>
        <v>-64840</v>
      </c>
    </row>
    <row r="46" spans="1:43" ht="14.4" x14ac:dyDescent="0.3">
      <c r="A46" s="21" t="s">
        <v>31</v>
      </c>
      <c r="B46" s="132">
        <v>569</v>
      </c>
      <c r="C46" s="95">
        <v>4</v>
      </c>
      <c r="D46" s="116">
        <v>67</v>
      </c>
      <c r="E46" s="117">
        <v>66</v>
      </c>
      <c r="F46" s="103">
        <f t="shared" si="5"/>
        <v>-1</v>
      </c>
      <c r="G46" s="113">
        <v>25</v>
      </c>
      <c r="H46" s="110">
        <v>17</v>
      </c>
      <c r="I46" s="105">
        <f t="shared" si="6"/>
        <v>-8</v>
      </c>
      <c r="J46" s="22">
        <f t="shared" si="30"/>
        <v>14</v>
      </c>
      <c r="K46" s="170">
        <f t="shared" si="30"/>
        <v>14</v>
      </c>
      <c r="L46" s="169">
        <f t="shared" si="7"/>
        <v>-3</v>
      </c>
      <c r="M46" s="126">
        <f t="shared" si="25"/>
        <v>14</v>
      </c>
      <c r="N46" s="27">
        <v>14</v>
      </c>
      <c r="O46" s="119">
        <f t="shared" si="8"/>
        <v>389830</v>
      </c>
      <c r="P46" s="119">
        <f t="shared" si="9"/>
        <v>117728.66</v>
      </c>
      <c r="Q46" s="119">
        <f t="shared" si="1"/>
        <v>507558.66000000003</v>
      </c>
      <c r="R46" s="24">
        <f t="shared" si="2"/>
        <v>2.0648967551622419E-2</v>
      </c>
      <c r="S46" s="120">
        <f t="shared" si="31"/>
        <v>10</v>
      </c>
      <c r="T46" s="121">
        <f t="shared" si="10"/>
        <v>278450</v>
      </c>
      <c r="U46" s="121">
        <f t="shared" si="11"/>
        <v>84091.9</v>
      </c>
      <c r="V46" s="121">
        <f t="shared" si="12"/>
        <v>362541.9</v>
      </c>
      <c r="W46" s="122">
        <f t="shared" si="13"/>
        <v>362600</v>
      </c>
      <c r="X46" s="38">
        <f>W46+'проезд Лизе к бюджету 2018'!L47</f>
        <v>435300</v>
      </c>
      <c r="Y46" s="37" t="e">
        <f>#REF!+#REF!</f>
        <v>#REF!</v>
      </c>
      <c r="Z46" s="37" t="e">
        <f t="shared" si="27"/>
        <v>#REF!</v>
      </c>
      <c r="AA46" s="249">
        <v>362095</v>
      </c>
      <c r="AB46" s="242">
        <v>109505</v>
      </c>
      <c r="AC46" s="253">
        <f t="shared" si="15"/>
        <v>471600</v>
      </c>
      <c r="AD46" s="245">
        <f>$K$2*M46</f>
        <v>389830</v>
      </c>
      <c r="AE46" s="139">
        <v>2900</v>
      </c>
      <c r="AF46" s="182">
        <v>22</v>
      </c>
      <c r="AG46" s="259">
        <v>12906.2</v>
      </c>
      <c r="AH46" s="141">
        <f t="shared" si="17"/>
        <v>434637</v>
      </c>
      <c r="AI46" s="143">
        <f t="shared" si="18"/>
        <v>72542</v>
      </c>
      <c r="AJ46" s="125">
        <f>AF46-'проезд Лизе к бюджету 2018'!B47</f>
        <v>19</v>
      </c>
      <c r="AK46" s="200">
        <f t="shared" si="19"/>
        <v>72542</v>
      </c>
      <c r="AL46" s="200">
        <f t="shared" si="20"/>
        <v>-109505</v>
      </c>
      <c r="AM46" s="200">
        <f t="shared" si="21"/>
        <v>-36963</v>
      </c>
      <c r="AN46" s="204">
        <f t="shared" si="22"/>
        <v>72600</v>
      </c>
      <c r="AO46" s="204">
        <f t="shared" si="23"/>
        <v>-109505</v>
      </c>
      <c r="AP46" s="207">
        <f t="shared" si="28"/>
        <v>-36905</v>
      </c>
      <c r="AQ46" s="154">
        <f t="shared" si="4"/>
        <v>-36905</v>
      </c>
    </row>
    <row r="47" spans="1:43" ht="14.4" x14ac:dyDescent="0.3">
      <c r="A47" s="21" t="s">
        <v>32</v>
      </c>
      <c r="B47" s="132">
        <v>570</v>
      </c>
      <c r="C47" s="95">
        <v>2</v>
      </c>
      <c r="D47" s="116">
        <v>56</v>
      </c>
      <c r="E47" s="117">
        <v>53</v>
      </c>
      <c r="F47" s="103">
        <f t="shared" si="5"/>
        <v>-3</v>
      </c>
      <c r="G47" s="113">
        <v>16</v>
      </c>
      <c r="H47" s="110">
        <v>10</v>
      </c>
      <c r="I47" s="105">
        <f t="shared" si="6"/>
        <v>-6</v>
      </c>
      <c r="J47" s="22">
        <f t="shared" si="30"/>
        <v>12</v>
      </c>
      <c r="K47" s="99">
        <f t="shared" si="30"/>
        <v>11</v>
      </c>
      <c r="L47" s="169">
        <f t="shared" si="7"/>
        <v>1</v>
      </c>
      <c r="M47" s="126">
        <f t="shared" si="25"/>
        <v>10</v>
      </c>
      <c r="N47" s="27">
        <v>12</v>
      </c>
      <c r="O47" s="119">
        <f t="shared" si="8"/>
        <v>334140</v>
      </c>
      <c r="P47" s="119">
        <f t="shared" si="9"/>
        <v>100910.28</v>
      </c>
      <c r="Q47" s="119">
        <f t="shared" si="1"/>
        <v>435050.28</v>
      </c>
      <c r="R47" s="24">
        <f t="shared" si="2"/>
        <v>1.7699115044247787E-2</v>
      </c>
      <c r="S47" s="120">
        <f t="shared" si="31"/>
        <v>9</v>
      </c>
      <c r="T47" s="121">
        <f t="shared" si="10"/>
        <v>250605</v>
      </c>
      <c r="U47" s="121">
        <f t="shared" si="11"/>
        <v>75682.710000000006</v>
      </c>
      <c r="V47" s="121">
        <f t="shared" si="12"/>
        <v>326287.71000000002</v>
      </c>
      <c r="W47" s="122">
        <f t="shared" si="13"/>
        <v>326300</v>
      </c>
      <c r="X47" s="38">
        <f>W47+'проезд Лизе к бюджету 2018'!L48</f>
        <v>399000</v>
      </c>
      <c r="Y47" s="37" t="e">
        <f>#REF!+#REF!</f>
        <v>#REF!</v>
      </c>
      <c r="Z47" s="37" t="e">
        <f t="shared" si="27"/>
        <v>#REF!</v>
      </c>
      <c r="AA47" s="249">
        <v>306405</v>
      </c>
      <c r="AB47" s="242">
        <v>92695</v>
      </c>
      <c r="AC47" s="253">
        <f t="shared" si="15"/>
        <v>399100</v>
      </c>
      <c r="AD47" s="245">
        <f t="shared" si="16"/>
        <v>278450</v>
      </c>
      <c r="AE47" s="139">
        <v>4350</v>
      </c>
      <c r="AF47" s="182">
        <v>16</v>
      </c>
      <c r="AG47" s="259">
        <v>17400</v>
      </c>
      <c r="AH47" s="141">
        <f t="shared" si="17"/>
        <v>319050</v>
      </c>
      <c r="AI47" s="143">
        <f t="shared" si="18"/>
        <v>12645</v>
      </c>
      <c r="AJ47" s="125">
        <f>AF47-'проезд Лизе к бюджету 2018'!B48</f>
        <v>12</v>
      </c>
      <c r="AK47" s="200">
        <f t="shared" si="19"/>
        <v>12645</v>
      </c>
      <c r="AL47" s="200">
        <f t="shared" si="20"/>
        <v>-92695</v>
      </c>
      <c r="AM47" s="200">
        <f t="shared" si="21"/>
        <v>-80050</v>
      </c>
      <c r="AN47" s="204">
        <f t="shared" si="22"/>
        <v>12700</v>
      </c>
      <c r="AO47" s="204">
        <f t="shared" si="23"/>
        <v>-92695</v>
      </c>
      <c r="AP47" s="207">
        <f t="shared" si="28"/>
        <v>-79995</v>
      </c>
      <c r="AQ47" s="154">
        <f t="shared" si="4"/>
        <v>-79995</v>
      </c>
    </row>
    <row r="48" spans="1:43" ht="14.4" x14ac:dyDescent="0.3">
      <c r="A48" s="21" t="s">
        <v>33</v>
      </c>
      <c r="B48" s="132">
        <v>571</v>
      </c>
      <c r="C48" s="95">
        <v>0</v>
      </c>
      <c r="D48" s="116">
        <v>66</v>
      </c>
      <c r="E48" s="117">
        <v>66</v>
      </c>
      <c r="F48" s="103">
        <f t="shared" si="5"/>
        <v>0</v>
      </c>
      <c r="G48" s="113">
        <v>16</v>
      </c>
      <c r="H48" s="110">
        <v>16</v>
      </c>
      <c r="I48" s="105">
        <f t="shared" si="6"/>
        <v>0</v>
      </c>
      <c r="J48" s="22">
        <f t="shared" si="30"/>
        <v>14</v>
      </c>
      <c r="K48" s="170">
        <f t="shared" si="30"/>
        <v>14</v>
      </c>
      <c r="L48" s="169">
        <f t="shared" si="7"/>
        <v>-2</v>
      </c>
      <c r="M48" s="126">
        <f t="shared" si="25"/>
        <v>14</v>
      </c>
      <c r="N48" s="27">
        <v>14</v>
      </c>
      <c r="O48" s="119">
        <f t="shared" si="8"/>
        <v>389830</v>
      </c>
      <c r="P48" s="119">
        <f t="shared" si="9"/>
        <v>117728.66</v>
      </c>
      <c r="Q48" s="119">
        <f t="shared" si="1"/>
        <v>507558.66000000003</v>
      </c>
      <c r="R48" s="24">
        <f t="shared" si="2"/>
        <v>2.0648967551622419E-2</v>
      </c>
      <c r="S48" s="120">
        <f t="shared" si="31"/>
        <v>10</v>
      </c>
      <c r="T48" s="121">
        <f t="shared" si="10"/>
        <v>278450</v>
      </c>
      <c r="U48" s="121">
        <f t="shared" si="11"/>
        <v>84091.9</v>
      </c>
      <c r="V48" s="121">
        <f t="shared" si="12"/>
        <v>362541.9</v>
      </c>
      <c r="W48" s="122">
        <f t="shared" si="13"/>
        <v>362600</v>
      </c>
      <c r="X48" s="38">
        <f>W48+'проезд Лизе к бюджету 2018'!L49</f>
        <v>362600</v>
      </c>
      <c r="Y48" s="37" t="e">
        <f>#REF!+#REF!</f>
        <v>#REF!</v>
      </c>
      <c r="Z48" s="37" t="e">
        <f t="shared" si="27"/>
        <v>#REF!</v>
      </c>
      <c r="AA48" s="249">
        <v>306295</v>
      </c>
      <c r="AB48" s="242">
        <v>92605</v>
      </c>
      <c r="AC48" s="253">
        <f t="shared" si="15"/>
        <v>398900</v>
      </c>
      <c r="AD48" s="245">
        <f t="shared" si="16"/>
        <v>389830</v>
      </c>
      <c r="AE48" s="139"/>
      <c r="AF48" s="182">
        <v>0</v>
      </c>
      <c r="AG48" s="259"/>
      <c r="AH48" s="141">
        <f t="shared" si="17"/>
        <v>389830</v>
      </c>
      <c r="AI48" s="143">
        <f t="shared" si="18"/>
        <v>83535</v>
      </c>
      <c r="AJ48" s="125">
        <f>AF48-'проезд Лизе к бюджету 2018'!B49</f>
        <v>0</v>
      </c>
      <c r="AK48" s="200">
        <f t="shared" si="19"/>
        <v>83535</v>
      </c>
      <c r="AL48" s="200">
        <f t="shared" si="20"/>
        <v>-92605</v>
      </c>
      <c r="AM48" s="200">
        <f t="shared" si="21"/>
        <v>-9070</v>
      </c>
      <c r="AN48" s="204">
        <f t="shared" si="22"/>
        <v>83600</v>
      </c>
      <c r="AO48" s="204">
        <f t="shared" si="23"/>
        <v>-92605</v>
      </c>
      <c r="AP48" s="207">
        <f t="shared" si="28"/>
        <v>-9005</v>
      </c>
      <c r="AQ48" s="154">
        <f t="shared" si="4"/>
        <v>-9005</v>
      </c>
    </row>
    <row r="49" spans="1:43" ht="14.4" x14ac:dyDescent="0.3">
      <c r="A49" s="21" t="s">
        <v>34</v>
      </c>
      <c r="B49" s="132">
        <v>572</v>
      </c>
      <c r="C49" s="95">
        <v>4</v>
      </c>
      <c r="D49" s="116">
        <v>56</v>
      </c>
      <c r="E49" s="117">
        <v>53</v>
      </c>
      <c r="F49" s="103">
        <f t="shared" si="5"/>
        <v>-3</v>
      </c>
      <c r="G49" s="113">
        <v>9</v>
      </c>
      <c r="H49" s="110">
        <v>9</v>
      </c>
      <c r="I49" s="105">
        <f t="shared" si="6"/>
        <v>0</v>
      </c>
      <c r="J49" s="22">
        <f t="shared" si="30"/>
        <v>12</v>
      </c>
      <c r="K49" s="99">
        <f t="shared" si="30"/>
        <v>11</v>
      </c>
      <c r="L49" s="169">
        <f t="shared" si="7"/>
        <v>2</v>
      </c>
      <c r="M49" s="126">
        <f t="shared" si="25"/>
        <v>9</v>
      </c>
      <c r="N49" s="27">
        <v>9</v>
      </c>
      <c r="O49" s="119">
        <f t="shared" si="8"/>
        <v>250605</v>
      </c>
      <c r="P49" s="119">
        <f t="shared" si="9"/>
        <v>75682.709999999992</v>
      </c>
      <c r="Q49" s="119">
        <f t="shared" si="1"/>
        <v>326287.70999999996</v>
      </c>
      <c r="R49" s="24">
        <f t="shared" si="2"/>
        <v>1.3274336283185841E-2</v>
      </c>
      <c r="S49" s="120">
        <f t="shared" si="31"/>
        <v>7</v>
      </c>
      <c r="T49" s="121">
        <f t="shared" si="10"/>
        <v>194915</v>
      </c>
      <c r="U49" s="121">
        <f t="shared" si="11"/>
        <v>58864.33</v>
      </c>
      <c r="V49" s="121">
        <f t="shared" si="12"/>
        <v>253779.33000000002</v>
      </c>
      <c r="W49" s="122">
        <f t="shared" si="13"/>
        <v>253799.99999999997</v>
      </c>
      <c r="X49" s="38">
        <f>W49+'проезд Лизе к бюджету 2018'!L50</f>
        <v>326499.99999999994</v>
      </c>
      <c r="Y49" s="37" t="e">
        <f>#REF!+#REF!</f>
        <v>#REF!</v>
      </c>
      <c r="Z49" s="37" t="e">
        <f t="shared" si="27"/>
        <v>#REF!</v>
      </c>
      <c r="AA49" s="249">
        <v>250715</v>
      </c>
      <c r="AB49" s="242">
        <v>75885</v>
      </c>
      <c r="AC49" s="253">
        <f t="shared" si="15"/>
        <v>326600</v>
      </c>
      <c r="AD49" s="245">
        <f t="shared" si="16"/>
        <v>250605</v>
      </c>
      <c r="AE49" s="139">
        <v>4350</v>
      </c>
      <c r="AF49" s="182">
        <v>24</v>
      </c>
      <c r="AG49" s="259">
        <v>17293.3</v>
      </c>
      <c r="AH49" s="141">
        <f t="shared" si="17"/>
        <v>302699</v>
      </c>
      <c r="AI49" s="143">
        <f t="shared" si="18"/>
        <v>51984</v>
      </c>
      <c r="AJ49" s="125">
        <f>AF49-'проезд Лизе к бюджету 2018'!B50</f>
        <v>22</v>
      </c>
      <c r="AK49" s="200">
        <f t="shared" si="19"/>
        <v>51984</v>
      </c>
      <c r="AL49" s="200">
        <f t="shared" si="20"/>
        <v>-75885</v>
      </c>
      <c r="AM49" s="200">
        <f t="shared" si="21"/>
        <v>-23901</v>
      </c>
      <c r="AN49" s="204">
        <f t="shared" si="22"/>
        <v>52000</v>
      </c>
      <c r="AO49" s="204">
        <f t="shared" si="23"/>
        <v>-75885</v>
      </c>
      <c r="AP49" s="207">
        <f t="shared" si="28"/>
        <v>-23885</v>
      </c>
      <c r="AQ49" s="154">
        <f t="shared" si="4"/>
        <v>-23885</v>
      </c>
    </row>
    <row r="50" spans="1:43" ht="14.4" x14ac:dyDescent="0.3">
      <c r="A50" s="21" t="s">
        <v>40</v>
      </c>
      <c r="B50" s="132">
        <v>574</v>
      </c>
      <c r="C50" s="95">
        <v>1</v>
      </c>
      <c r="D50" s="116">
        <v>65</v>
      </c>
      <c r="E50" s="117">
        <v>65</v>
      </c>
      <c r="F50" s="103">
        <f t="shared" si="5"/>
        <v>0</v>
      </c>
      <c r="G50" s="113">
        <v>15</v>
      </c>
      <c r="H50" s="110">
        <v>13</v>
      </c>
      <c r="I50" s="105">
        <f t="shared" si="6"/>
        <v>-2</v>
      </c>
      <c r="J50" s="22">
        <f t="shared" si="30"/>
        <v>13</v>
      </c>
      <c r="K50" s="99">
        <f t="shared" si="30"/>
        <v>13</v>
      </c>
      <c r="L50" s="169">
        <f t="shared" si="7"/>
        <v>0</v>
      </c>
      <c r="M50" s="126">
        <f t="shared" si="25"/>
        <v>13</v>
      </c>
      <c r="N50" s="27">
        <v>13</v>
      </c>
      <c r="O50" s="119">
        <f t="shared" si="8"/>
        <v>361985</v>
      </c>
      <c r="P50" s="119">
        <f t="shared" si="9"/>
        <v>109319.47</v>
      </c>
      <c r="Q50" s="119">
        <f t="shared" si="1"/>
        <v>471304.47</v>
      </c>
      <c r="R50" s="24">
        <f t="shared" si="2"/>
        <v>1.9174041297935103E-2</v>
      </c>
      <c r="S50" s="120">
        <f t="shared" si="31"/>
        <v>10</v>
      </c>
      <c r="T50" s="121">
        <f t="shared" si="10"/>
        <v>278450</v>
      </c>
      <c r="U50" s="121">
        <f t="shared" si="11"/>
        <v>84091.9</v>
      </c>
      <c r="V50" s="121">
        <f t="shared" si="12"/>
        <v>362541.9</v>
      </c>
      <c r="W50" s="122">
        <f t="shared" si="13"/>
        <v>362600</v>
      </c>
      <c r="X50" s="38">
        <f>W50+'проезд Лизе к бюджету 2018'!L51</f>
        <v>411100</v>
      </c>
      <c r="Y50" s="37" t="e">
        <f>#REF!+#REF!</f>
        <v>#REF!</v>
      </c>
      <c r="Z50" s="37" t="e">
        <f t="shared" si="27"/>
        <v>#REF!</v>
      </c>
      <c r="AA50" s="249">
        <v>287805</v>
      </c>
      <c r="AB50" s="242">
        <v>87095</v>
      </c>
      <c r="AC50" s="253">
        <f t="shared" si="15"/>
        <v>374900</v>
      </c>
      <c r="AD50" s="245">
        <f t="shared" si="16"/>
        <v>361985</v>
      </c>
      <c r="AE50" s="139">
        <v>2900</v>
      </c>
      <c r="AF50" s="182">
        <v>16</v>
      </c>
      <c r="AG50" s="259">
        <v>11463.7</v>
      </c>
      <c r="AH50" s="141">
        <f t="shared" si="17"/>
        <v>396649</v>
      </c>
      <c r="AI50" s="143">
        <f t="shared" si="18"/>
        <v>108844</v>
      </c>
      <c r="AJ50" s="125">
        <f>AF50-'проезд Лизе к бюджету 2018'!B51</f>
        <v>13</v>
      </c>
      <c r="AK50" s="200">
        <f t="shared" si="19"/>
        <v>108844</v>
      </c>
      <c r="AL50" s="200">
        <f t="shared" si="20"/>
        <v>-87095</v>
      </c>
      <c r="AM50" s="200">
        <f t="shared" si="21"/>
        <v>21749</v>
      </c>
      <c r="AN50" s="204">
        <f t="shared" si="22"/>
        <v>108899.99999999999</v>
      </c>
      <c r="AO50" s="204">
        <f t="shared" si="23"/>
        <v>-87095</v>
      </c>
      <c r="AP50" s="207">
        <f t="shared" si="28"/>
        <v>21804.999999999985</v>
      </c>
      <c r="AQ50" s="154">
        <f t="shared" si="4"/>
        <v>21804.999999999985</v>
      </c>
    </row>
    <row r="51" spans="1:43" ht="14.4" x14ac:dyDescent="0.3">
      <c r="A51" s="21" t="s">
        <v>37</v>
      </c>
      <c r="B51" s="132">
        <v>591</v>
      </c>
      <c r="C51" s="95">
        <v>2</v>
      </c>
      <c r="D51" s="116">
        <v>42</v>
      </c>
      <c r="E51" s="117">
        <v>42</v>
      </c>
      <c r="F51" s="103">
        <f t="shared" si="5"/>
        <v>0</v>
      </c>
      <c r="G51" s="113">
        <v>8</v>
      </c>
      <c r="H51" s="110">
        <v>8</v>
      </c>
      <c r="I51" s="105">
        <f t="shared" si="6"/>
        <v>0</v>
      </c>
      <c r="J51" s="22">
        <f t="shared" si="30"/>
        <v>9</v>
      </c>
      <c r="K51" s="99">
        <f t="shared" si="30"/>
        <v>9</v>
      </c>
      <c r="L51" s="169">
        <f t="shared" si="7"/>
        <v>1</v>
      </c>
      <c r="M51" s="126">
        <f t="shared" si="25"/>
        <v>8</v>
      </c>
      <c r="N51" s="27">
        <v>8</v>
      </c>
      <c r="O51" s="119">
        <f t="shared" si="8"/>
        <v>222760</v>
      </c>
      <c r="P51" s="119">
        <f t="shared" si="9"/>
        <v>67273.52</v>
      </c>
      <c r="Q51" s="119">
        <f t="shared" si="1"/>
        <v>290033.52</v>
      </c>
      <c r="R51" s="24">
        <f t="shared" si="2"/>
        <v>1.1799410029498525E-2</v>
      </c>
      <c r="S51" s="120">
        <f t="shared" si="31"/>
        <v>6</v>
      </c>
      <c r="T51" s="121">
        <f t="shared" si="10"/>
        <v>167070</v>
      </c>
      <c r="U51" s="121">
        <f t="shared" si="11"/>
        <v>50455.14</v>
      </c>
      <c r="V51" s="121">
        <f t="shared" si="12"/>
        <v>217525.14</v>
      </c>
      <c r="W51" s="122">
        <f t="shared" si="13"/>
        <v>217600</v>
      </c>
      <c r="X51" s="38">
        <f>W51+'проезд Лизе к бюджету 2018'!L52</f>
        <v>241900</v>
      </c>
      <c r="Y51" s="37" t="e">
        <f>#REF!+#REF!</f>
        <v>#REF!</v>
      </c>
      <c r="Z51" s="37" t="e">
        <f t="shared" si="27"/>
        <v>#REF!</v>
      </c>
      <c r="AA51" s="249">
        <v>185670</v>
      </c>
      <c r="AB51" s="242">
        <v>56230</v>
      </c>
      <c r="AC51" s="253">
        <f t="shared" si="15"/>
        <v>241900</v>
      </c>
      <c r="AD51" s="245">
        <f t="shared" si="16"/>
        <v>222760</v>
      </c>
      <c r="AE51" s="139"/>
      <c r="AF51" s="181">
        <v>0</v>
      </c>
      <c r="AG51" s="259"/>
      <c r="AH51" s="141">
        <f t="shared" si="17"/>
        <v>222760</v>
      </c>
      <c r="AI51" s="143">
        <f t="shared" si="18"/>
        <v>37090</v>
      </c>
      <c r="AJ51" s="125">
        <f>AF51-'проезд Лизе к бюджету 2018'!B52</f>
        <v>-1</v>
      </c>
      <c r="AK51" s="200">
        <f t="shared" si="19"/>
        <v>37090</v>
      </c>
      <c r="AL51" s="200">
        <f t="shared" si="20"/>
        <v>-56230</v>
      </c>
      <c r="AM51" s="200">
        <f t="shared" si="21"/>
        <v>-19140</v>
      </c>
      <c r="AN51" s="204">
        <f t="shared" si="22"/>
        <v>37100</v>
      </c>
      <c r="AO51" s="204">
        <f t="shared" si="23"/>
        <v>-56230</v>
      </c>
      <c r="AP51" s="207">
        <f t="shared" si="28"/>
        <v>-19130</v>
      </c>
      <c r="AQ51" s="154">
        <f t="shared" si="4"/>
        <v>-19130</v>
      </c>
    </row>
    <row r="52" spans="1:43" ht="15.6" customHeight="1" x14ac:dyDescent="0.3">
      <c r="A52" s="21" t="s">
        <v>35</v>
      </c>
      <c r="B52" s="132">
        <v>592</v>
      </c>
      <c r="C52" s="95">
        <v>0</v>
      </c>
      <c r="D52" s="116">
        <v>48</v>
      </c>
      <c r="E52" s="117">
        <v>48</v>
      </c>
      <c r="F52" s="103">
        <f t="shared" si="5"/>
        <v>0</v>
      </c>
      <c r="G52" s="113">
        <v>9</v>
      </c>
      <c r="H52" s="110">
        <v>9</v>
      </c>
      <c r="I52" s="105">
        <f t="shared" si="6"/>
        <v>0</v>
      </c>
      <c r="J52" s="22">
        <f t="shared" si="30"/>
        <v>10</v>
      </c>
      <c r="K52" s="99">
        <f t="shared" si="30"/>
        <v>10</v>
      </c>
      <c r="L52" s="169">
        <f t="shared" si="7"/>
        <v>1</v>
      </c>
      <c r="M52" s="126">
        <f>IF(H52&gt;K52,K52,H52)</f>
        <v>9</v>
      </c>
      <c r="N52" s="27">
        <v>9</v>
      </c>
      <c r="O52" s="119">
        <f t="shared" si="8"/>
        <v>250605</v>
      </c>
      <c r="P52" s="119">
        <f t="shared" si="9"/>
        <v>75682.709999999992</v>
      </c>
      <c r="Q52" s="119">
        <f t="shared" si="1"/>
        <v>326287.70999999996</v>
      </c>
      <c r="R52" s="24">
        <f t="shared" si="2"/>
        <v>1.3274336283185841E-2</v>
      </c>
      <c r="S52" s="120">
        <f t="shared" si="31"/>
        <v>7</v>
      </c>
      <c r="T52" s="121">
        <f t="shared" si="10"/>
        <v>194915</v>
      </c>
      <c r="U52" s="121">
        <f t="shared" si="11"/>
        <v>58864.33</v>
      </c>
      <c r="V52" s="121">
        <f t="shared" si="12"/>
        <v>253779.33000000002</v>
      </c>
      <c r="W52" s="122">
        <f t="shared" si="13"/>
        <v>253799.99999999997</v>
      </c>
      <c r="X52" s="38">
        <f>W52+'проезд Лизе к бюджету 2018'!L53</f>
        <v>278100</v>
      </c>
      <c r="Y52" s="37" t="e">
        <f>#REF!+#REF!</f>
        <v>#REF!</v>
      </c>
      <c r="Z52" s="37" t="e">
        <f t="shared" si="27"/>
        <v>#REF!</v>
      </c>
      <c r="AA52" s="249">
        <v>129980</v>
      </c>
      <c r="AB52" s="242">
        <v>39420</v>
      </c>
      <c r="AC52" s="253">
        <f t="shared" si="15"/>
        <v>169400</v>
      </c>
      <c r="AD52" s="245">
        <f t="shared" si="16"/>
        <v>250605</v>
      </c>
      <c r="AE52" s="139">
        <v>1450</v>
      </c>
      <c r="AF52" s="182">
        <v>5</v>
      </c>
      <c r="AG52" s="259">
        <v>5737.9</v>
      </c>
      <c r="AH52" s="141">
        <f t="shared" si="17"/>
        <v>263593</v>
      </c>
      <c r="AI52" s="143">
        <f t="shared" si="18"/>
        <v>133613</v>
      </c>
      <c r="AJ52" s="125">
        <f>AF52-'проезд Лизе к бюджету 2018'!B53</f>
        <v>4</v>
      </c>
      <c r="AK52" s="200">
        <f t="shared" si="19"/>
        <v>133613</v>
      </c>
      <c r="AL52" s="200">
        <f t="shared" si="20"/>
        <v>-39420</v>
      </c>
      <c r="AM52" s="200">
        <f t="shared" si="21"/>
        <v>94193</v>
      </c>
      <c r="AN52" s="204">
        <f t="shared" si="22"/>
        <v>133700</v>
      </c>
      <c r="AO52" s="204">
        <f t="shared" si="23"/>
        <v>-39420</v>
      </c>
      <c r="AP52" s="207">
        <f t="shared" si="28"/>
        <v>94280</v>
      </c>
      <c r="AQ52" s="154">
        <f t="shared" si="4"/>
        <v>94280</v>
      </c>
    </row>
    <row r="53" spans="1:43" ht="14.4" x14ac:dyDescent="0.3">
      <c r="A53" s="21" t="s">
        <v>36</v>
      </c>
      <c r="B53" s="132">
        <v>593</v>
      </c>
      <c r="C53" s="95"/>
      <c r="D53" s="116"/>
      <c r="E53" s="117">
        <v>49</v>
      </c>
      <c r="F53" s="103">
        <f t="shared" si="5"/>
        <v>49</v>
      </c>
      <c r="G53" s="113"/>
      <c r="H53" s="110">
        <v>10</v>
      </c>
      <c r="I53" s="105">
        <f t="shared" si="6"/>
        <v>10</v>
      </c>
      <c r="J53" s="22">
        <f t="shared" si="30"/>
        <v>0</v>
      </c>
      <c r="K53" s="99">
        <f t="shared" si="30"/>
        <v>10</v>
      </c>
      <c r="L53" s="169">
        <f t="shared" si="7"/>
        <v>0</v>
      </c>
      <c r="M53" s="126">
        <f t="shared" si="25"/>
        <v>10</v>
      </c>
      <c r="N53" s="27"/>
      <c r="O53" s="119">
        <f t="shared" si="8"/>
        <v>0</v>
      </c>
      <c r="P53" s="119">
        <f t="shared" si="9"/>
        <v>0</v>
      </c>
      <c r="Q53" s="119">
        <f t="shared" si="1"/>
        <v>0</v>
      </c>
      <c r="R53" s="24">
        <f t="shared" si="2"/>
        <v>0</v>
      </c>
      <c r="S53" s="120">
        <f t="shared" si="31"/>
        <v>0</v>
      </c>
      <c r="T53" s="121">
        <f t="shared" si="10"/>
        <v>0</v>
      </c>
      <c r="U53" s="121">
        <f t="shared" si="11"/>
        <v>0</v>
      </c>
      <c r="V53" s="121">
        <f t="shared" si="12"/>
        <v>0</v>
      </c>
      <c r="W53" s="122">
        <f t="shared" si="13"/>
        <v>0</v>
      </c>
      <c r="X53" s="38">
        <f>W53+'проезд Лизе к бюджету 2018'!L54</f>
        <v>48500</v>
      </c>
      <c r="Y53" s="37" t="e">
        <f>#REF!+#REF!</f>
        <v>#REF!</v>
      </c>
      <c r="Z53" s="37" t="e">
        <f t="shared" si="27"/>
        <v>#REF!</v>
      </c>
      <c r="AA53" s="249">
        <v>259960</v>
      </c>
      <c r="AB53" s="242">
        <v>78640</v>
      </c>
      <c r="AC53" s="253">
        <f t="shared" si="15"/>
        <v>338600</v>
      </c>
      <c r="AD53" s="245">
        <f t="shared" si="16"/>
        <v>278450</v>
      </c>
      <c r="AE53" s="139">
        <v>376</v>
      </c>
      <c r="AF53" s="196">
        <f>2*8</f>
        <v>16</v>
      </c>
      <c r="AG53" s="259">
        <v>10078.18</v>
      </c>
      <c r="AH53" s="141">
        <f t="shared" si="17"/>
        <v>311729</v>
      </c>
      <c r="AI53" s="143">
        <f t="shared" si="18"/>
        <v>51769</v>
      </c>
      <c r="AJ53" s="125">
        <f>AF53-'проезд Лизе к бюджету 2018'!B54</f>
        <v>13</v>
      </c>
      <c r="AK53" s="200">
        <f t="shared" si="19"/>
        <v>51769</v>
      </c>
      <c r="AL53" s="200">
        <f t="shared" si="20"/>
        <v>-78640</v>
      </c>
      <c r="AM53" s="200">
        <f t="shared" si="21"/>
        <v>-26871</v>
      </c>
      <c r="AN53" s="204">
        <f t="shared" si="22"/>
        <v>51800.000000000007</v>
      </c>
      <c r="AO53" s="204">
        <f t="shared" si="23"/>
        <v>-78640</v>
      </c>
      <c r="AP53" s="207">
        <f t="shared" si="28"/>
        <v>-26839.999999999993</v>
      </c>
      <c r="AQ53" s="154">
        <f t="shared" si="4"/>
        <v>-26839.999999999993</v>
      </c>
    </row>
    <row r="54" spans="1:43" ht="14.4" x14ac:dyDescent="0.3">
      <c r="A54" s="21" t="s">
        <v>42</v>
      </c>
      <c r="B54" s="132">
        <v>625</v>
      </c>
      <c r="C54" s="95">
        <v>2</v>
      </c>
      <c r="D54" s="116">
        <v>82</v>
      </c>
      <c r="E54" s="117">
        <v>82</v>
      </c>
      <c r="F54" s="103">
        <f t="shared" si="5"/>
        <v>0</v>
      </c>
      <c r="G54" s="113">
        <v>18</v>
      </c>
      <c r="H54" s="110">
        <v>9</v>
      </c>
      <c r="I54" s="105">
        <f t="shared" si="6"/>
        <v>-9</v>
      </c>
      <c r="J54" s="22">
        <f t="shared" si="30"/>
        <v>17</v>
      </c>
      <c r="K54" s="99">
        <f t="shared" si="30"/>
        <v>17</v>
      </c>
      <c r="L54" s="169">
        <f t="shared" si="7"/>
        <v>8</v>
      </c>
      <c r="M54" s="126">
        <f t="shared" si="25"/>
        <v>9</v>
      </c>
      <c r="N54" s="27">
        <v>17</v>
      </c>
      <c r="O54" s="119">
        <f t="shared" si="8"/>
        <v>473365</v>
      </c>
      <c r="P54" s="119">
        <f t="shared" si="9"/>
        <v>142956.22999999998</v>
      </c>
      <c r="Q54" s="119">
        <f t="shared" si="1"/>
        <v>616321.23</v>
      </c>
      <c r="R54" s="24">
        <f t="shared" si="2"/>
        <v>2.5073746312684365E-2</v>
      </c>
      <c r="S54" s="120">
        <f t="shared" si="31"/>
        <v>13</v>
      </c>
      <c r="T54" s="121">
        <f t="shared" si="10"/>
        <v>361985</v>
      </c>
      <c r="U54" s="121">
        <f t="shared" si="11"/>
        <v>109319.47</v>
      </c>
      <c r="V54" s="121">
        <f t="shared" si="12"/>
        <v>471304.47</v>
      </c>
      <c r="W54" s="122">
        <f t="shared" si="13"/>
        <v>471400.00000000006</v>
      </c>
      <c r="X54" s="38">
        <f>W54+'проезд Лизе к бюджету 2018'!L55</f>
        <v>519900.00000000006</v>
      </c>
      <c r="Y54" s="37" t="e">
        <f>#REF!+#REF!</f>
        <v>#REF!</v>
      </c>
      <c r="Z54" s="37" t="e">
        <f t="shared" si="27"/>
        <v>#REF!</v>
      </c>
      <c r="AA54" s="249">
        <v>232115</v>
      </c>
      <c r="AB54" s="242">
        <v>70285</v>
      </c>
      <c r="AC54" s="253">
        <f t="shared" si="15"/>
        <v>302400</v>
      </c>
      <c r="AD54" s="245">
        <f t="shared" si="16"/>
        <v>250605</v>
      </c>
      <c r="AE54" s="139">
        <v>2900</v>
      </c>
      <c r="AF54" s="182">
        <v>16</v>
      </c>
      <c r="AG54" s="259">
        <v>11542.51</v>
      </c>
      <c r="AH54" s="141">
        <f t="shared" si="17"/>
        <v>285348</v>
      </c>
      <c r="AI54" s="143">
        <f t="shared" si="18"/>
        <v>53233</v>
      </c>
      <c r="AJ54" s="125">
        <f>AF54-'проезд Лизе к бюджету 2018'!B55</f>
        <v>16</v>
      </c>
      <c r="AK54" s="200">
        <f t="shared" si="19"/>
        <v>53233</v>
      </c>
      <c r="AL54" s="200">
        <f t="shared" si="20"/>
        <v>-70285</v>
      </c>
      <c r="AM54" s="200">
        <f t="shared" si="21"/>
        <v>-17052</v>
      </c>
      <c r="AN54" s="204">
        <f t="shared" si="22"/>
        <v>53300.000000000007</v>
      </c>
      <c r="AO54" s="204">
        <f t="shared" si="23"/>
        <v>-70285</v>
      </c>
      <c r="AP54" s="207">
        <f t="shared" si="28"/>
        <v>-16984.999999999993</v>
      </c>
      <c r="AQ54" s="154">
        <f t="shared" si="4"/>
        <v>-16984.999999999993</v>
      </c>
    </row>
    <row r="55" spans="1:43" ht="14.4" x14ac:dyDescent="0.3">
      <c r="A55" s="21" t="s">
        <v>63</v>
      </c>
      <c r="B55" s="132">
        <v>627</v>
      </c>
      <c r="C55" s="95">
        <v>3</v>
      </c>
      <c r="D55" s="116">
        <v>98</v>
      </c>
      <c r="E55" s="117">
        <v>98</v>
      </c>
      <c r="F55" s="103">
        <f t="shared" si="5"/>
        <v>0</v>
      </c>
      <c r="G55" s="113">
        <v>20</v>
      </c>
      <c r="H55" s="110">
        <v>15</v>
      </c>
      <c r="I55" s="105">
        <f t="shared" si="6"/>
        <v>-5</v>
      </c>
      <c r="J55" s="22">
        <f t="shared" si="30"/>
        <v>20</v>
      </c>
      <c r="K55" s="99">
        <f t="shared" si="30"/>
        <v>20</v>
      </c>
      <c r="L55" s="169">
        <f t="shared" si="7"/>
        <v>5</v>
      </c>
      <c r="M55" s="126">
        <f t="shared" si="25"/>
        <v>15</v>
      </c>
      <c r="N55" s="27">
        <v>20</v>
      </c>
      <c r="O55" s="119">
        <f t="shared" si="8"/>
        <v>556900</v>
      </c>
      <c r="P55" s="119">
        <f t="shared" si="9"/>
        <v>168183.8</v>
      </c>
      <c r="Q55" s="119">
        <f t="shared" si="1"/>
        <v>725083.8</v>
      </c>
      <c r="R55" s="24">
        <f t="shared" si="2"/>
        <v>2.9498525073746312E-2</v>
      </c>
      <c r="S55" s="120">
        <f>ROUND(R55*$O$83,0)-1</f>
        <v>14</v>
      </c>
      <c r="T55" s="121">
        <f t="shared" si="10"/>
        <v>389830</v>
      </c>
      <c r="U55" s="121">
        <f t="shared" si="11"/>
        <v>117728.66</v>
      </c>
      <c r="V55" s="121">
        <f t="shared" si="12"/>
        <v>507558.66000000003</v>
      </c>
      <c r="W55" s="122">
        <f t="shared" si="13"/>
        <v>507600</v>
      </c>
      <c r="X55" s="38">
        <f>W55+'проезд Лизе к бюджету 2018'!L56</f>
        <v>653000</v>
      </c>
      <c r="Y55" s="37" t="e">
        <f>#REF!+#REF!</f>
        <v>#REF!</v>
      </c>
      <c r="Z55" s="37" t="e">
        <f t="shared" si="27"/>
        <v>#REF!</v>
      </c>
      <c r="AA55" s="249">
        <v>527503</v>
      </c>
      <c r="AB55" s="242">
        <v>159597</v>
      </c>
      <c r="AC55" s="253">
        <f t="shared" si="15"/>
        <v>687100</v>
      </c>
      <c r="AD55" s="245">
        <f t="shared" si="16"/>
        <v>417675</v>
      </c>
      <c r="AE55" s="139">
        <v>4350</v>
      </c>
      <c r="AF55" s="182">
        <v>22</v>
      </c>
      <c r="AG55" s="259">
        <v>20194.099999999999</v>
      </c>
      <c r="AH55" s="141">
        <f t="shared" si="17"/>
        <v>469770</v>
      </c>
      <c r="AI55" s="143">
        <f t="shared" si="18"/>
        <v>-57733</v>
      </c>
      <c r="AJ55" s="125">
        <f>AF55-'проезд Лизе к бюджету 2018'!B56</f>
        <v>18</v>
      </c>
      <c r="AK55" s="200">
        <f t="shared" si="19"/>
        <v>-57733</v>
      </c>
      <c r="AL55" s="200">
        <f t="shared" si="20"/>
        <v>-159597</v>
      </c>
      <c r="AM55" s="200">
        <f t="shared" si="21"/>
        <v>-217330</v>
      </c>
      <c r="AN55" s="204">
        <f t="shared" si="22"/>
        <v>-57700</v>
      </c>
      <c r="AO55" s="204">
        <f t="shared" si="23"/>
        <v>-159597</v>
      </c>
      <c r="AP55" s="207">
        <f t="shared" si="28"/>
        <v>-217297</v>
      </c>
      <c r="AQ55" s="265"/>
    </row>
    <row r="56" spans="1:43" ht="14.4" x14ac:dyDescent="0.3">
      <c r="A56" s="21" t="s">
        <v>50</v>
      </c>
      <c r="B56" s="132">
        <v>639</v>
      </c>
      <c r="C56" s="95">
        <v>0</v>
      </c>
      <c r="D56" s="116">
        <v>67</v>
      </c>
      <c r="E56" s="175">
        <v>67</v>
      </c>
      <c r="F56" s="103">
        <f t="shared" si="5"/>
        <v>0</v>
      </c>
      <c r="G56" s="113">
        <v>10</v>
      </c>
      <c r="H56" s="110">
        <v>15</v>
      </c>
      <c r="I56" s="105">
        <f t="shared" si="6"/>
        <v>5</v>
      </c>
      <c r="J56" s="22">
        <f t="shared" si="30"/>
        <v>14</v>
      </c>
      <c r="K56" s="170">
        <f t="shared" si="30"/>
        <v>14</v>
      </c>
      <c r="L56" s="169">
        <f t="shared" si="7"/>
        <v>-1</v>
      </c>
      <c r="M56" s="126">
        <f t="shared" si="25"/>
        <v>14</v>
      </c>
      <c r="N56" s="27">
        <v>10</v>
      </c>
      <c r="O56" s="119">
        <f t="shared" si="8"/>
        <v>278450</v>
      </c>
      <c r="P56" s="119">
        <f t="shared" si="9"/>
        <v>84091.9</v>
      </c>
      <c r="Q56" s="119">
        <f t="shared" si="1"/>
        <v>362541.9</v>
      </c>
      <c r="R56" s="24">
        <f t="shared" si="2"/>
        <v>1.4749262536873156E-2</v>
      </c>
      <c r="S56" s="120">
        <f>ROUND(R56*$O$83,0)</f>
        <v>7</v>
      </c>
      <c r="T56" s="121">
        <f t="shared" si="10"/>
        <v>194915</v>
      </c>
      <c r="U56" s="121">
        <f t="shared" si="11"/>
        <v>58864.33</v>
      </c>
      <c r="V56" s="121">
        <f t="shared" si="12"/>
        <v>253779.33000000002</v>
      </c>
      <c r="W56" s="122">
        <f t="shared" si="13"/>
        <v>253799.99999999997</v>
      </c>
      <c r="X56" s="38">
        <f>W56+'проезд Лизе к бюджету 2018'!L57</f>
        <v>253799.99999999997</v>
      </c>
      <c r="Y56" s="37" t="e">
        <f>#REF!+#REF!</f>
        <v>#REF!</v>
      </c>
      <c r="Z56" s="37" t="e">
        <f t="shared" si="27"/>
        <v>#REF!</v>
      </c>
      <c r="AA56" s="249">
        <v>306295</v>
      </c>
      <c r="AB56" s="242">
        <v>92605</v>
      </c>
      <c r="AC56" s="253">
        <f t="shared" si="15"/>
        <v>398900</v>
      </c>
      <c r="AD56" s="245">
        <f t="shared" si="16"/>
        <v>389830</v>
      </c>
      <c r="AE56" s="139"/>
      <c r="AF56" s="181">
        <v>0</v>
      </c>
      <c r="AG56" s="259"/>
      <c r="AH56" s="141">
        <f t="shared" si="17"/>
        <v>389830</v>
      </c>
      <c r="AI56" s="143">
        <f t="shared" si="18"/>
        <v>83535</v>
      </c>
      <c r="AJ56" s="125">
        <f>AF56-'проезд Лизе к бюджету 2018'!B57</f>
        <v>0</v>
      </c>
      <c r="AK56" s="200">
        <f t="shared" si="19"/>
        <v>83535</v>
      </c>
      <c r="AL56" s="200">
        <f t="shared" si="20"/>
        <v>-92605</v>
      </c>
      <c r="AM56" s="200">
        <f t="shared" si="21"/>
        <v>-9070</v>
      </c>
      <c r="AN56" s="204">
        <f t="shared" si="22"/>
        <v>83600</v>
      </c>
      <c r="AO56" s="204">
        <f t="shared" si="23"/>
        <v>-92605</v>
      </c>
      <c r="AP56" s="207">
        <f t="shared" si="28"/>
        <v>-9005</v>
      </c>
      <c r="AQ56" s="154">
        <f t="shared" si="4"/>
        <v>-9005</v>
      </c>
    </row>
    <row r="57" spans="1:43" ht="14.4" x14ac:dyDescent="0.3">
      <c r="A57" s="21" t="s">
        <v>59</v>
      </c>
      <c r="B57" s="132">
        <v>641</v>
      </c>
      <c r="C57" s="95">
        <v>0</v>
      </c>
      <c r="D57" s="116">
        <v>60</v>
      </c>
      <c r="E57" s="117">
        <v>60</v>
      </c>
      <c r="F57" s="103">
        <f t="shared" si="5"/>
        <v>0</v>
      </c>
      <c r="G57" s="113">
        <v>11</v>
      </c>
      <c r="H57" s="110">
        <v>11</v>
      </c>
      <c r="I57" s="105">
        <f t="shared" si="6"/>
        <v>0</v>
      </c>
      <c r="J57" s="22">
        <f t="shared" si="30"/>
        <v>12</v>
      </c>
      <c r="K57" s="99">
        <f t="shared" si="30"/>
        <v>12</v>
      </c>
      <c r="L57" s="169">
        <f t="shared" si="7"/>
        <v>1</v>
      </c>
      <c r="M57" s="126">
        <f t="shared" si="25"/>
        <v>11</v>
      </c>
      <c r="N57" s="27">
        <v>11</v>
      </c>
      <c r="O57" s="119">
        <f t="shared" si="8"/>
        <v>306295</v>
      </c>
      <c r="P57" s="119">
        <f t="shared" si="9"/>
        <v>92501.09</v>
      </c>
      <c r="Q57" s="119">
        <f t="shared" si="1"/>
        <v>398796.08999999997</v>
      </c>
      <c r="R57" s="24">
        <f t="shared" si="2"/>
        <v>1.6224188790560472E-2</v>
      </c>
      <c r="S57" s="120">
        <f>ROUND(R57*$O$83,0)</f>
        <v>8</v>
      </c>
      <c r="T57" s="121">
        <f t="shared" si="10"/>
        <v>222760</v>
      </c>
      <c r="U57" s="121">
        <f t="shared" si="11"/>
        <v>67273.52</v>
      </c>
      <c r="V57" s="121">
        <f t="shared" si="12"/>
        <v>290033.52</v>
      </c>
      <c r="W57" s="122">
        <f t="shared" si="13"/>
        <v>290100</v>
      </c>
      <c r="X57" s="38">
        <f>W57+'проезд Лизе к бюджету 2018'!L58</f>
        <v>314400</v>
      </c>
      <c r="Y57" s="37" t="e">
        <f>#REF!+#REF!</f>
        <v>#REF!</v>
      </c>
      <c r="Z57" s="37" t="e">
        <f t="shared" si="27"/>
        <v>#REF!</v>
      </c>
      <c r="AA57" s="249">
        <v>241360</v>
      </c>
      <c r="AB57" s="242">
        <v>73040</v>
      </c>
      <c r="AC57" s="253">
        <f t="shared" si="15"/>
        <v>314400</v>
      </c>
      <c r="AD57" s="245">
        <f t="shared" si="16"/>
        <v>306295</v>
      </c>
      <c r="AE57" s="139">
        <v>1450</v>
      </c>
      <c r="AF57" s="182">
        <v>8</v>
      </c>
      <c r="AG57" s="259">
        <v>5707.9</v>
      </c>
      <c r="AH57" s="141">
        <f t="shared" si="17"/>
        <v>323603</v>
      </c>
      <c r="AI57" s="143">
        <f t="shared" si="18"/>
        <v>82243</v>
      </c>
      <c r="AJ57" s="125">
        <f>AF57-'проезд Лизе к бюджету 2018'!B58</f>
        <v>6</v>
      </c>
      <c r="AK57" s="200">
        <f t="shared" si="19"/>
        <v>82243</v>
      </c>
      <c r="AL57" s="200">
        <f t="shared" si="20"/>
        <v>-73040</v>
      </c>
      <c r="AM57" s="200">
        <f t="shared" si="21"/>
        <v>9203</v>
      </c>
      <c r="AN57" s="204">
        <f t="shared" si="22"/>
        <v>82300</v>
      </c>
      <c r="AO57" s="204">
        <f t="shared" si="23"/>
        <v>-73040</v>
      </c>
      <c r="AP57" s="207">
        <f t="shared" si="28"/>
        <v>9260</v>
      </c>
      <c r="AQ57" s="154">
        <f t="shared" si="4"/>
        <v>9260</v>
      </c>
    </row>
    <row r="58" spans="1:43" ht="14.4" x14ac:dyDescent="0.3">
      <c r="A58" s="21" t="s">
        <v>51</v>
      </c>
      <c r="B58" s="132">
        <v>667</v>
      </c>
      <c r="C58" s="95">
        <v>0</v>
      </c>
      <c r="D58" s="116">
        <v>78</v>
      </c>
      <c r="E58" s="117">
        <v>78</v>
      </c>
      <c r="F58" s="103">
        <f t="shared" si="5"/>
        <v>0</v>
      </c>
      <c r="G58" s="113">
        <v>16</v>
      </c>
      <c r="H58" s="110">
        <v>16</v>
      </c>
      <c r="I58" s="105">
        <f t="shared" si="6"/>
        <v>0</v>
      </c>
      <c r="J58" s="22">
        <f t="shared" si="30"/>
        <v>16</v>
      </c>
      <c r="K58" s="99">
        <f t="shared" si="30"/>
        <v>16</v>
      </c>
      <c r="L58" s="169">
        <f t="shared" si="7"/>
        <v>0</v>
      </c>
      <c r="M58" s="126">
        <f t="shared" si="25"/>
        <v>16</v>
      </c>
      <c r="N58" s="27">
        <v>16</v>
      </c>
      <c r="O58" s="119">
        <f t="shared" si="8"/>
        <v>445520</v>
      </c>
      <c r="P58" s="119">
        <f t="shared" si="9"/>
        <v>134547.04</v>
      </c>
      <c r="Q58" s="119">
        <f t="shared" si="1"/>
        <v>580067.04</v>
      </c>
      <c r="R58" s="24">
        <f t="shared" si="2"/>
        <v>2.359882005899705E-2</v>
      </c>
      <c r="S58" s="120">
        <f>ROUND(R58*$O$83,0)</f>
        <v>12</v>
      </c>
      <c r="T58" s="121">
        <f t="shared" si="10"/>
        <v>334140</v>
      </c>
      <c r="U58" s="121">
        <f t="shared" si="11"/>
        <v>100910.28</v>
      </c>
      <c r="V58" s="121">
        <f t="shared" si="12"/>
        <v>435050.28</v>
      </c>
      <c r="W58" s="122">
        <f t="shared" si="13"/>
        <v>435100</v>
      </c>
      <c r="X58" s="38">
        <f>W58+'проезд Лизе к бюджету 2018'!L59</f>
        <v>483600</v>
      </c>
      <c r="Y58" s="37" t="e">
        <f>#REF!+#REF!</f>
        <v>#REF!</v>
      </c>
      <c r="Z58" s="37" t="e">
        <f t="shared" si="27"/>
        <v>#REF!</v>
      </c>
      <c r="AA58" s="249">
        <v>371340</v>
      </c>
      <c r="AB58" s="242">
        <v>105460</v>
      </c>
      <c r="AC58" s="253">
        <f t="shared" si="15"/>
        <v>476800</v>
      </c>
      <c r="AD58" s="245">
        <f t="shared" si="16"/>
        <v>445520</v>
      </c>
      <c r="AE58" s="139">
        <v>2900</v>
      </c>
      <c r="AF58" s="182">
        <v>10</v>
      </c>
      <c r="AG58" s="259">
        <v>11478.3</v>
      </c>
      <c r="AH58" s="141">
        <f t="shared" si="17"/>
        <v>471499</v>
      </c>
      <c r="AI58" s="143">
        <f t="shared" si="18"/>
        <v>100159</v>
      </c>
      <c r="AJ58" s="125">
        <f>AF58-'проезд Лизе к бюджету 2018'!B59</f>
        <v>8</v>
      </c>
      <c r="AK58" s="200">
        <f t="shared" si="19"/>
        <v>100159</v>
      </c>
      <c r="AL58" s="200">
        <f t="shared" si="20"/>
        <v>-105460</v>
      </c>
      <c r="AM58" s="200">
        <f t="shared" si="21"/>
        <v>-5301</v>
      </c>
      <c r="AN58" s="204">
        <f t="shared" si="22"/>
        <v>100199.99999999999</v>
      </c>
      <c r="AO58" s="204">
        <f t="shared" si="23"/>
        <v>-105460</v>
      </c>
      <c r="AP58" s="207">
        <f t="shared" si="28"/>
        <v>-5260.0000000000146</v>
      </c>
      <c r="AQ58" s="154">
        <f t="shared" si="4"/>
        <v>-5260.0000000000146</v>
      </c>
    </row>
    <row r="59" spans="1:43" ht="14.4" x14ac:dyDescent="0.3">
      <c r="A59" s="29" t="s">
        <v>62</v>
      </c>
      <c r="B59" s="132">
        <v>689</v>
      </c>
      <c r="C59" s="95">
        <v>2</v>
      </c>
      <c r="D59" s="116">
        <v>23</v>
      </c>
      <c r="E59" s="117">
        <v>23</v>
      </c>
      <c r="F59" s="103">
        <f t="shared" si="5"/>
        <v>0</v>
      </c>
      <c r="G59" s="113">
        <v>2</v>
      </c>
      <c r="H59" s="173">
        <v>6</v>
      </c>
      <c r="I59" s="105">
        <f t="shared" si="6"/>
        <v>4</v>
      </c>
      <c r="J59" s="22">
        <f t="shared" si="30"/>
        <v>5</v>
      </c>
      <c r="K59" s="170">
        <v>6</v>
      </c>
      <c r="L59" s="169">
        <f t="shared" si="7"/>
        <v>0</v>
      </c>
      <c r="M59" s="126">
        <f t="shared" si="25"/>
        <v>6</v>
      </c>
      <c r="N59" s="25">
        <v>2</v>
      </c>
      <c r="O59" s="119">
        <f t="shared" si="8"/>
        <v>55690</v>
      </c>
      <c r="P59" s="119">
        <f t="shared" si="9"/>
        <v>16818.38</v>
      </c>
      <c r="Q59" s="119">
        <f t="shared" si="1"/>
        <v>72508.38</v>
      </c>
      <c r="R59" s="24">
        <f t="shared" si="2"/>
        <v>2.9498525073746312E-3</v>
      </c>
      <c r="S59" s="120">
        <f>ROUND(R59*$O$83,0)</f>
        <v>1</v>
      </c>
      <c r="T59" s="121">
        <f t="shared" si="10"/>
        <v>27845</v>
      </c>
      <c r="U59" s="121">
        <f t="shared" si="11"/>
        <v>8409.19</v>
      </c>
      <c r="V59" s="121">
        <f t="shared" si="12"/>
        <v>36254.19</v>
      </c>
      <c r="W59" s="122">
        <f t="shared" si="13"/>
        <v>36300.000000000007</v>
      </c>
      <c r="X59" s="38">
        <f>W59+'проезд Лизе к бюджету 2018'!L60</f>
        <v>84800</v>
      </c>
      <c r="Y59" s="37" t="e">
        <f>#REF!+#REF!</f>
        <v>#REF!</v>
      </c>
      <c r="Z59" s="37" t="e">
        <f t="shared" si="27"/>
        <v>#REF!</v>
      </c>
      <c r="AA59" s="249">
        <v>148580</v>
      </c>
      <c r="AB59" s="242">
        <v>45020</v>
      </c>
      <c r="AC59" s="253">
        <f t="shared" si="15"/>
        <v>193600</v>
      </c>
      <c r="AD59" s="245">
        <f t="shared" si="16"/>
        <v>167070</v>
      </c>
      <c r="AE59" s="139">
        <v>2900</v>
      </c>
      <c r="AF59" s="182">
        <v>5</v>
      </c>
      <c r="AG59" s="259">
        <v>11520.4</v>
      </c>
      <c r="AH59" s="141">
        <f t="shared" si="17"/>
        <v>185841</v>
      </c>
      <c r="AI59" s="143">
        <f t="shared" si="18"/>
        <v>37261</v>
      </c>
      <c r="AJ59" s="125">
        <f>AF59-'проезд Лизе к бюджету 2018'!B60</f>
        <v>4</v>
      </c>
      <c r="AK59" s="200">
        <f t="shared" si="19"/>
        <v>37261</v>
      </c>
      <c r="AL59" s="200">
        <f t="shared" si="20"/>
        <v>-45020</v>
      </c>
      <c r="AM59" s="200">
        <f t="shared" si="21"/>
        <v>-7759</v>
      </c>
      <c r="AN59" s="204">
        <f t="shared" si="22"/>
        <v>37300.000000000007</v>
      </c>
      <c r="AO59" s="204">
        <f t="shared" si="23"/>
        <v>-45020</v>
      </c>
      <c r="AP59" s="207">
        <f t="shared" si="28"/>
        <v>-7719.9999999999927</v>
      </c>
      <c r="AQ59" s="154">
        <f t="shared" si="4"/>
        <v>-7719.9999999999927</v>
      </c>
    </row>
    <row r="60" spans="1:43" ht="14.4" x14ac:dyDescent="0.3">
      <c r="A60" s="21" t="s">
        <v>144</v>
      </c>
      <c r="B60" s="132">
        <v>690</v>
      </c>
      <c r="C60" s="95">
        <v>4</v>
      </c>
      <c r="D60" s="106">
        <v>46</v>
      </c>
      <c r="E60" s="101">
        <v>46</v>
      </c>
      <c r="F60" s="103">
        <f t="shared" si="5"/>
        <v>0</v>
      </c>
      <c r="G60" s="111">
        <v>33</v>
      </c>
      <c r="H60" s="104">
        <v>33</v>
      </c>
      <c r="I60" s="105">
        <f t="shared" si="6"/>
        <v>0</v>
      </c>
      <c r="J60" s="22">
        <f t="shared" si="30"/>
        <v>10</v>
      </c>
      <c r="K60" s="170">
        <f t="shared" si="30"/>
        <v>10</v>
      </c>
      <c r="L60" s="171">
        <f t="shared" si="7"/>
        <v>-23</v>
      </c>
      <c r="M60" s="126">
        <f t="shared" si="25"/>
        <v>10</v>
      </c>
      <c r="N60" s="25">
        <v>10</v>
      </c>
      <c r="O60" s="119">
        <f t="shared" si="8"/>
        <v>278450</v>
      </c>
      <c r="P60" s="119">
        <f t="shared" si="9"/>
        <v>84091.9</v>
      </c>
      <c r="Q60" s="119">
        <f t="shared" si="1"/>
        <v>362541.9</v>
      </c>
      <c r="R60" s="24">
        <f t="shared" si="2"/>
        <v>1.4749262536873156E-2</v>
      </c>
      <c r="S60" s="120">
        <f>ROUND(R60*$O$83,0)</f>
        <v>7</v>
      </c>
      <c r="T60" s="121">
        <f t="shared" si="10"/>
        <v>194915</v>
      </c>
      <c r="U60" s="121">
        <f t="shared" si="11"/>
        <v>58864.33</v>
      </c>
      <c r="V60" s="121">
        <f t="shared" si="12"/>
        <v>253779.33000000002</v>
      </c>
      <c r="W60" s="122">
        <f t="shared" si="13"/>
        <v>253799.99999999997</v>
      </c>
      <c r="X60" s="38">
        <f>W60+'проезд Лизе к бюджету 2018'!L61</f>
        <v>350699.99999999994</v>
      </c>
      <c r="Y60" s="37" t="e">
        <f>#REF!+#REF!</f>
        <v>#REF!</v>
      </c>
      <c r="Z60" s="37" t="e">
        <f t="shared" si="27"/>
        <v>#REF!</v>
      </c>
      <c r="AA60" s="249">
        <v>269315</v>
      </c>
      <c r="AB60" s="242">
        <v>81485</v>
      </c>
      <c r="AC60" s="253">
        <f t="shared" si="15"/>
        <v>350800</v>
      </c>
      <c r="AD60" s="245">
        <f>$K$2*M60</f>
        <v>278450</v>
      </c>
      <c r="AE60" s="139">
        <v>4350</v>
      </c>
      <c r="AF60" s="182">
        <v>24</v>
      </c>
      <c r="AG60" s="259">
        <v>20222.900000000001</v>
      </c>
      <c r="AH60" s="141">
        <f t="shared" si="17"/>
        <v>333473</v>
      </c>
      <c r="AI60" s="143">
        <f t="shared" si="18"/>
        <v>64158</v>
      </c>
      <c r="AJ60" s="125">
        <f>AF60-'проезд Лизе к бюджету 2018'!B61</f>
        <v>23</v>
      </c>
      <c r="AK60" s="200">
        <f t="shared" si="19"/>
        <v>64158</v>
      </c>
      <c r="AL60" s="200">
        <f t="shared" si="20"/>
        <v>-81485</v>
      </c>
      <c r="AM60" s="200">
        <f t="shared" si="21"/>
        <v>-17327</v>
      </c>
      <c r="AN60" s="204">
        <f t="shared" si="22"/>
        <v>64199.999999999985</v>
      </c>
      <c r="AO60" s="204">
        <f t="shared" si="23"/>
        <v>-81485</v>
      </c>
      <c r="AP60" s="207">
        <f t="shared" si="28"/>
        <v>-17285.000000000015</v>
      </c>
      <c r="AQ60" s="154">
        <f t="shared" si="4"/>
        <v>-17285.000000000015</v>
      </c>
    </row>
    <row r="61" spans="1:43" ht="14.4" x14ac:dyDescent="0.3">
      <c r="A61" s="21" t="s">
        <v>145</v>
      </c>
      <c r="B61" s="132">
        <v>691</v>
      </c>
      <c r="C61" s="95"/>
      <c r="D61" s="106"/>
      <c r="E61" s="106"/>
      <c r="F61" s="103">
        <f t="shared" si="5"/>
        <v>0</v>
      </c>
      <c r="G61" s="111"/>
      <c r="H61" s="111"/>
      <c r="I61" s="105">
        <f t="shared" si="6"/>
        <v>0</v>
      </c>
      <c r="J61" s="22"/>
      <c r="K61" s="99"/>
      <c r="L61" s="169">
        <f t="shared" si="7"/>
        <v>0</v>
      </c>
      <c r="M61" s="126">
        <f t="shared" si="25"/>
        <v>0</v>
      </c>
      <c r="N61" s="25"/>
      <c r="O61" s="119"/>
      <c r="P61" s="119"/>
      <c r="Q61" s="119"/>
      <c r="R61" s="24"/>
      <c r="S61" s="120"/>
      <c r="T61" s="121"/>
      <c r="U61" s="121"/>
      <c r="V61" s="121"/>
      <c r="W61" s="122"/>
      <c r="X61" s="38"/>
      <c r="Y61" s="37"/>
      <c r="Z61" s="37"/>
      <c r="AA61" s="249"/>
      <c r="AB61" s="242"/>
      <c r="AC61" s="253"/>
      <c r="AD61" s="245"/>
      <c r="AE61" s="139"/>
      <c r="AF61" s="182">
        <v>0</v>
      </c>
      <c r="AG61" s="259"/>
      <c r="AH61" s="141">
        <f t="shared" si="17"/>
        <v>0</v>
      </c>
      <c r="AI61" s="143">
        <f t="shared" si="18"/>
        <v>0</v>
      </c>
      <c r="AJ61" s="125">
        <f>AF61-'проезд Лизе к бюджету 2018'!B62</f>
        <v>0</v>
      </c>
      <c r="AK61" s="200">
        <f t="shared" si="19"/>
        <v>0</v>
      </c>
      <c r="AL61" s="200">
        <f t="shared" si="20"/>
        <v>0</v>
      </c>
      <c r="AM61" s="200">
        <f t="shared" si="21"/>
        <v>0</v>
      </c>
      <c r="AN61" s="204">
        <f t="shared" si="22"/>
        <v>0</v>
      </c>
      <c r="AO61" s="204">
        <f t="shared" si="23"/>
        <v>0</v>
      </c>
      <c r="AP61" s="207">
        <f t="shared" si="28"/>
        <v>0</v>
      </c>
      <c r="AQ61" s="154">
        <f t="shared" si="4"/>
        <v>0</v>
      </c>
    </row>
    <row r="62" spans="1:43" ht="14.4" x14ac:dyDescent="0.3">
      <c r="A62" s="21" t="s">
        <v>55</v>
      </c>
      <c r="B62" s="134" t="s">
        <v>93</v>
      </c>
      <c r="C62" s="95">
        <v>1</v>
      </c>
      <c r="D62" s="106">
        <v>29</v>
      </c>
      <c r="E62" s="101">
        <v>28</v>
      </c>
      <c r="F62" s="103">
        <f t="shared" si="5"/>
        <v>-1</v>
      </c>
      <c r="G62" s="111">
        <v>5</v>
      </c>
      <c r="H62" s="104">
        <v>6</v>
      </c>
      <c r="I62" s="105">
        <f t="shared" si="6"/>
        <v>1</v>
      </c>
      <c r="J62" s="22">
        <f t="shared" ref="J62:K75" si="32">ROUNDUP(D62/5,0)</f>
        <v>6</v>
      </c>
      <c r="K62" s="99">
        <f t="shared" si="32"/>
        <v>6</v>
      </c>
      <c r="L62" s="169">
        <f t="shared" si="7"/>
        <v>0</v>
      </c>
      <c r="M62" s="126">
        <f t="shared" si="25"/>
        <v>6</v>
      </c>
      <c r="N62" s="25">
        <v>5</v>
      </c>
      <c r="O62" s="119">
        <f t="shared" si="8"/>
        <v>139225</v>
      </c>
      <c r="P62" s="119">
        <f t="shared" si="9"/>
        <v>42045.95</v>
      </c>
      <c r="Q62" s="119">
        <f t="shared" si="1"/>
        <v>181270.95</v>
      </c>
      <c r="R62" s="24">
        <f t="shared" ref="R62:R74" si="33">N62/$N$76</f>
        <v>7.3746312684365781E-3</v>
      </c>
      <c r="S62" s="120">
        <f t="shared" ref="S62:S75" si="34">ROUND(R62*$O$83,0)</f>
        <v>4</v>
      </c>
      <c r="T62" s="121">
        <f t="shared" si="10"/>
        <v>111380</v>
      </c>
      <c r="U62" s="121">
        <f t="shared" si="11"/>
        <v>33636.76</v>
      </c>
      <c r="V62" s="121">
        <f t="shared" si="12"/>
        <v>145016.76</v>
      </c>
      <c r="W62" s="122">
        <f t="shared" si="13"/>
        <v>145100</v>
      </c>
      <c r="X62" s="38">
        <f>W62+'проезд Лизе к бюджету 2018'!L62</f>
        <v>145100</v>
      </c>
      <c r="Y62" s="37" t="e">
        <f>#REF!+#REF!</f>
        <v>#REF!</v>
      </c>
      <c r="Z62" s="37" t="e">
        <f t="shared" si="27"/>
        <v>#REF!</v>
      </c>
      <c r="AA62" s="249">
        <v>139225</v>
      </c>
      <c r="AB62" s="242">
        <v>42175</v>
      </c>
      <c r="AC62" s="253">
        <f t="shared" si="15"/>
        <v>181400</v>
      </c>
      <c r="AD62" s="245">
        <f t="shared" si="16"/>
        <v>167070</v>
      </c>
      <c r="AE62" s="139"/>
      <c r="AF62" s="182">
        <f>ROUND(AE62/1450,0)</f>
        <v>0</v>
      </c>
      <c r="AG62" s="260"/>
      <c r="AH62" s="141">
        <f t="shared" si="17"/>
        <v>167070</v>
      </c>
      <c r="AI62" s="143">
        <f t="shared" si="18"/>
        <v>27845</v>
      </c>
      <c r="AJ62" s="125">
        <f>AF62-'проезд Лизе к бюджету 2018'!B63</f>
        <v>-6</v>
      </c>
      <c r="AK62" s="200">
        <f t="shared" si="19"/>
        <v>27845</v>
      </c>
      <c r="AL62" s="200">
        <f t="shared" si="20"/>
        <v>-42175</v>
      </c>
      <c r="AM62" s="200">
        <f t="shared" si="21"/>
        <v>-14330</v>
      </c>
      <c r="AN62" s="204">
        <f t="shared" si="22"/>
        <v>27900.000000000004</v>
      </c>
      <c r="AO62" s="204">
        <f t="shared" si="23"/>
        <v>-42175</v>
      </c>
      <c r="AP62" s="207">
        <f t="shared" si="28"/>
        <v>-14274.999999999996</v>
      </c>
      <c r="AQ62" s="154">
        <f t="shared" si="4"/>
        <v>-14274.999999999996</v>
      </c>
    </row>
    <row r="63" spans="1:43" ht="14.4" x14ac:dyDescent="0.3">
      <c r="A63" s="21" t="s">
        <v>61</v>
      </c>
      <c r="B63" s="134" t="s">
        <v>94</v>
      </c>
      <c r="C63" s="95">
        <v>0</v>
      </c>
      <c r="D63" s="106">
        <v>35</v>
      </c>
      <c r="E63" s="101">
        <v>35</v>
      </c>
      <c r="F63" s="103">
        <f t="shared" si="5"/>
        <v>0</v>
      </c>
      <c r="G63" s="111">
        <v>7</v>
      </c>
      <c r="H63" s="104">
        <v>6</v>
      </c>
      <c r="I63" s="105">
        <f t="shared" si="6"/>
        <v>-1</v>
      </c>
      <c r="J63" s="22">
        <f t="shared" si="32"/>
        <v>7</v>
      </c>
      <c r="K63" s="99">
        <f t="shared" si="32"/>
        <v>7</v>
      </c>
      <c r="L63" s="169">
        <f t="shared" si="7"/>
        <v>1</v>
      </c>
      <c r="M63" s="126">
        <f t="shared" si="25"/>
        <v>6</v>
      </c>
      <c r="N63" s="25">
        <v>7</v>
      </c>
      <c r="O63" s="119">
        <f t="shared" si="8"/>
        <v>194915</v>
      </c>
      <c r="P63" s="119">
        <f t="shared" si="9"/>
        <v>58864.33</v>
      </c>
      <c r="Q63" s="119">
        <f t="shared" si="1"/>
        <v>253779.33000000002</v>
      </c>
      <c r="R63" s="24">
        <f t="shared" si="33"/>
        <v>1.0324483775811209E-2</v>
      </c>
      <c r="S63" s="120">
        <f t="shared" si="34"/>
        <v>5</v>
      </c>
      <c r="T63" s="121">
        <f t="shared" si="10"/>
        <v>139225</v>
      </c>
      <c r="U63" s="121">
        <f t="shared" si="11"/>
        <v>42045.95</v>
      </c>
      <c r="V63" s="121">
        <f t="shared" si="12"/>
        <v>181270.95</v>
      </c>
      <c r="W63" s="122">
        <f t="shared" si="13"/>
        <v>181299.99999999997</v>
      </c>
      <c r="X63" s="38">
        <f>W63+'проезд Лизе к бюджету 2018'!L63</f>
        <v>302400</v>
      </c>
      <c r="Y63" s="37" t="e">
        <f>#REF!+#REF!</f>
        <v>#REF!</v>
      </c>
      <c r="Z63" s="37" t="e">
        <f t="shared" si="27"/>
        <v>#REF!</v>
      </c>
      <c r="AA63" s="249">
        <v>176425</v>
      </c>
      <c r="AB63" s="242">
        <v>53475</v>
      </c>
      <c r="AC63" s="253">
        <f t="shared" si="15"/>
        <v>229900</v>
      </c>
      <c r="AD63" s="245">
        <f t="shared" si="16"/>
        <v>167070</v>
      </c>
      <c r="AE63" s="139">
        <v>2900</v>
      </c>
      <c r="AF63" s="182">
        <v>10</v>
      </c>
      <c r="AG63" s="260">
        <v>11522</v>
      </c>
      <c r="AH63" s="141">
        <f t="shared" si="17"/>
        <v>193092</v>
      </c>
      <c r="AI63" s="143">
        <f t="shared" si="18"/>
        <v>16667</v>
      </c>
      <c r="AJ63" s="125">
        <f>AF63-'проезд Лизе к бюджету 2018'!B64</f>
        <v>9</v>
      </c>
      <c r="AK63" s="200">
        <f t="shared" si="19"/>
        <v>16667</v>
      </c>
      <c r="AL63" s="200">
        <f t="shared" si="20"/>
        <v>-53475</v>
      </c>
      <c r="AM63" s="200">
        <f t="shared" si="21"/>
        <v>-36808</v>
      </c>
      <c r="AN63" s="204">
        <f t="shared" si="22"/>
        <v>16700.000000000004</v>
      </c>
      <c r="AO63" s="204">
        <f t="shared" si="23"/>
        <v>-53475</v>
      </c>
      <c r="AP63" s="207">
        <f t="shared" si="28"/>
        <v>-36775</v>
      </c>
      <c r="AQ63" s="154">
        <f t="shared" si="4"/>
        <v>-36775</v>
      </c>
    </row>
    <row r="64" spans="1:43" ht="16.95" customHeight="1" x14ac:dyDescent="0.3">
      <c r="A64" s="21" t="s">
        <v>95</v>
      </c>
      <c r="B64" s="134" t="s">
        <v>96</v>
      </c>
      <c r="C64" s="95">
        <v>5</v>
      </c>
      <c r="D64" s="106">
        <v>66</v>
      </c>
      <c r="E64" s="101">
        <v>64</v>
      </c>
      <c r="F64" s="103">
        <f t="shared" si="5"/>
        <v>-2</v>
      </c>
      <c r="G64" s="111">
        <v>32</v>
      </c>
      <c r="H64" s="104">
        <v>10</v>
      </c>
      <c r="I64" s="105">
        <f t="shared" si="6"/>
        <v>-22</v>
      </c>
      <c r="J64" s="22">
        <f t="shared" si="32"/>
        <v>14</v>
      </c>
      <c r="K64" s="99">
        <f t="shared" si="32"/>
        <v>13</v>
      </c>
      <c r="L64" s="169">
        <f t="shared" si="7"/>
        <v>3</v>
      </c>
      <c r="M64" s="126">
        <f t="shared" si="25"/>
        <v>10</v>
      </c>
      <c r="N64" s="25">
        <v>14</v>
      </c>
      <c r="O64" s="119">
        <f t="shared" si="8"/>
        <v>389830</v>
      </c>
      <c r="P64" s="119">
        <f t="shared" si="9"/>
        <v>117728.66</v>
      </c>
      <c r="Q64" s="119">
        <f t="shared" si="1"/>
        <v>507558.66000000003</v>
      </c>
      <c r="R64" s="24">
        <f t="shared" si="33"/>
        <v>2.0648967551622419E-2</v>
      </c>
      <c r="S64" s="120">
        <f t="shared" si="34"/>
        <v>10</v>
      </c>
      <c r="T64" s="121">
        <f t="shared" si="10"/>
        <v>278450</v>
      </c>
      <c r="U64" s="121">
        <f t="shared" si="11"/>
        <v>84091.9</v>
      </c>
      <c r="V64" s="121">
        <f t="shared" si="12"/>
        <v>362541.9</v>
      </c>
      <c r="W64" s="122">
        <f t="shared" si="13"/>
        <v>362600</v>
      </c>
      <c r="X64" s="38">
        <f>W64+'проезд Лизе к бюджету 2018'!L64</f>
        <v>411100</v>
      </c>
      <c r="Y64" s="37" t="e">
        <f>#REF!+#REF!</f>
        <v>#REF!</v>
      </c>
      <c r="Z64" s="37" t="e">
        <f t="shared" si="27"/>
        <v>#REF!</v>
      </c>
      <c r="AA64" s="249">
        <v>408650</v>
      </c>
      <c r="AB64" s="242">
        <v>123550</v>
      </c>
      <c r="AC64" s="253">
        <f t="shared" si="15"/>
        <v>532200</v>
      </c>
      <c r="AD64" s="245">
        <f t="shared" si="16"/>
        <v>278450</v>
      </c>
      <c r="AE64" s="139">
        <v>7250</v>
      </c>
      <c r="AF64" s="182">
        <v>48</v>
      </c>
      <c r="AG64" s="260">
        <v>21670.3</v>
      </c>
      <c r="AH64" s="141">
        <f t="shared" si="17"/>
        <v>369721</v>
      </c>
      <c r="AI64" s="143">
        <f t="shared" si="18"/>
        <v>-38929</v>
      </c>
      <c r="AJ64" s="125">
        <f>AF64-'проезд Лизе к бюджету 2018'!B65</f>
        <v>47</v>
      </c>
      <c r="AK64" s="200">
        <f t="shared" si="19"/>
        <v>-38929</v>
      </c>
      <c r="AL64" s="200">
        <f t="shared" si="20"/>
        <v>-123550</v>
      </c>
      <c r="AM64" s="200">
        <f t="shared" si="21"/>
        <v>-162479</v>
      </c>
      <c r="AN64" s="204">
        <f t="shared" si="22"/>
        <v>-38900</v>
      </c>
      <c r="AO64" s="204">
        <f t="shared" si="23"/>
        <v>-123550</v>
      </c>
      <c r="AP64" s="207">
        <f t="shared" si="28"/>
        <v>-162450</v>
      </c>
      <c r="AQ64" s="265">
        <v>-30100</v>
      </c>
    </row>
    <row r="65" spans="1:43" ht="14.4" x14ac:dyDescent="0.3">
      <c r="A65" s="21" t="s">
        <v>52</v>
      </c>
      <c r="B65" s="134" t="s">
        <v>97</v>
      </c>
      <c r="C65" s="95"/>
      <c r="D65" s="106"/>
      <c r="E65" s="101">
        <v>68</v>
      </c>
      <c r="F65" s="103">
        <f t="shared" si="5"/>
        <v>68</v>
      </c>
      <c r="G65" s="111"/>
      <c r="H65" s="104">
        <v>12</v>
      </c>
      <c r="I65" s="105">
        <f t="shared" si="6"/>
        <v>12</v>
      </c>
      <c r="J65" s="22">
        <f t="shared" si="32"/>
        <v>0</v>
      </c>
      <c r="K65" s="99">
        <f t="shared" si="32"/>
        <v>14</v>
      </c>
      <c r="L65" s="169">
        <f t="shared" si="7"/>
        <v>2</v>
      </c>
      <c r="M65" s="126">
        <f t="shared" si="25"/>
        <v>12</v>
      </c>
      <c r="N65" s="25"/>
      <c r="O65" s="119">
        <f t="shared" si="8"/>
        <v>0</v>
      </c>
      <c r="P65" s="119">
        <f t="shared" si="9"/>
        <v>0</v>
      </c>
      <c r="Q65" s="119">
        <f t="shared" si="1"/>
        <v>0</v>
      </c>
      <c r="R65" s="24">
        <f t="shared" si="33"/>
        <v>0</v>
      </c>
      <c r="S65" s="120">
        <f t="shared" si="34"/>
        <v>0</v>
      </c>
      <c r="T65" s="121">
        <f t="shared" si="10"/>
        <v>0</v>
      </c>
      <c r="U65" s="121">
        <f t="shared" si="11"/>
        <v>0</v>
      </c>
      <c r="V65" s="121">
        <f t="shared" si="12"/>
        <v>0</v>
      </c>
      <c r="W65" s="122">
        <f t="shared" si="13"/>
        <v>0</v>
      </c>
      <c r="X65" s="38">
        <f>W65+'проезд Лизе к бюджету 2018'!L65</f>
        <v>48500</v>
      </c>
      <c r="Y65" s="37" t="e">
        <f>#REF!+#REF!</f>
        <v>#REF!</v>
      </c>
      <c r="Z65" s="37" t="e">
        <f t="shared" si="27"/>
        <v>#REF!</v>
      </c>
      <c r="AA65" s="249">
        <v>297050</v>
      </c>
      <c r="AB65" s="242">
        <v>89850</v>
      </c>
      <c r="AC65" s="253">
        <f t="shared" si="15"/>
        <v>386900</v>
      </c>
      <c r="AD65" s="245">
        <f t="shared" si="16"/>
        <v>334140</v>
      </c>
      <c r="AE65" s="139">
        <v>1450</v>
      </c>
      <c r="AF65" s="182">
        <v>4</v>
      </c>
      <c r="AG65" s="260">
        <v>4342.51</v>
      </c>
      <c r="AH65" s="141">
        <f t="shared" si="17"/>
        <v>344283</v>
      </c>
      <c r="AI65" s="143">
        <f t="shared" si="18"/>
        <v>47233</v>
      </c>
      <c r="AJ65" s="125">
        <f>AF65-'проезд Лизе к бюджету 2018'!B66</f>
        <v>4</v>
      </c>
      <c r="AK65" s="200">
        <f t="shared" si="19"/>
        <v>47233</v>
      </c>
      <c r="AL65" s="200">
        <f t="shared" si="20"/>
        <v>-89850</v>
      </c>
      <c r="AM65" s="200">
        <f t="shared" si="21"/>
        <v>-42617</v>
      </c>
      <c r="AN65" s="204">
        <f t="shared" si="22"/>
        <v>47300.000000000007</v>
      </c>
      <c r="AO65" s="204">
        <f t="shared" si="23"/>
        <v>-89850</v>
      </c>
      <c r="AP65" s="207">
        <f t="shared" si="28"/>
        <v>-42549.999999999993</v>
      </c>
      <c r="AQ65" s="154">
        <f t="shared" si="4"/>
        <v>-42549.999999999993</v>
      </c>
    </row>
    <row r="66" spans="1:43" ht="14.4" x14ac:dyDescent="0.3">
      <c r="A66" s="21" t="s">
        <v>57</v>
      </c>
      <c r="B66" s="134" t="s">
        <v>98</v>
      </c>
      <c r="C66" s="95">
        <v>9</v>
      </c>
      <c r="D66" s="106">
        <v>91</v>
      </c>
      <c r="E66" s="101">
        <v>83</v>
      </c>
      <c r="F66" s="103">
        <f t="shared" si="5"/>
        <v>-8</v>
      </c>
      <c r="G66" s="111">
        <v>13</v>
      </c>
      <c r="H66" s="104">
        <v>15</v>
      </c>
      <c r="I66" s="105">
        <f t="shared" si="6"/>
        <v>2</v>
      </c>
      <c r="J66" s="22">
        <f t="shared" si="32"/>
        <v>19</v>
      </c>
      <c r="K66" s="99">
        <f t="shared" si="32"/>
        <v>17</v>
      </c>
      <c r="L66" s="169">
        <f t="shared" si="7"/>
        <v>2</v>
      </c>
      <c r="M66" s="126">
        <f t="shared" si="25"/>
        <v>15</v>
      </c>
      <c r="N66" s="25">
        <v>13</v>
      </c>
      <c r="O66" s="119">
        <f t="shared" si="8"/>
        <v>361985</v>
      </c>
      <c r="P66" s="119">
        <f t="shared" si="9"/>
        <v>109319.47</v>
      </c>
      <c r="Q66" s="119">
        <f t="shared" si="1"/>
        <v>471304.47</v>
      </c>
      <c r="R66" s="24">
        <f t="shared" si="33"/>
        <v>1.9174041297935103E-2</v>
      </c>
      <c r="S66" s="120">
        <f t="shared" si="34"/>
        <v>10</v>
      </c>
      <c r="T66" s="121">
        <f t="shared" si="10"/>
        <v>278450</v>
      </c>
      <c r="U66" s="121">
        <f t="shared" si="11"/>
        <v>84091.9</v>
      </c>
      <c r="V66" s="121">
        <f t="shared" si="12"/>
        <v>362541.9</v>
      </c>
      <c r="W66" s="122">
        <f t="shared" si="13"/>
        <v>362600</v>
      </c>
      <c r="X66" s="38">
        <f>W66+'проезд Лизе к бюджету 2018'!L66</f>
        <v>362600</v>
      </c>
      <c r="Y66" s="37" t="e">
        <f>#REF!+#REF!</f>
        <v>#REF!</v>
      </c>
      <c r="Z66" s="37" t="e">
        <f t="shared" si="27"/>
        <v>#REF!</v>
      </c>
      <c r="AA66" s="249">
        <v>501540</v>
      </c>
      <c r="AB66" s="242">
        <v>150660</v>
      </c>
      <c r="AC66" s="253">
        <f t="shared" si="15"/>
        <v>652200</v>
      </c>
      <c r="AD66" s="245">
        <f t="shared" si="16"/>
        <v>417675</v>
      </c>
      <c r="AE66" s="139">
        <v>1698</v>
      </c>
      <c r="AF66" s="181">
        <f>10*8</f>
        <v>80</v>
      </c>
      <c r="AG66" s="260">
        <v>53650</v>
      </c>
      <c r="AH66" s="141">
        <f t="shared" si="17"/>
        <v>587325</v>
      </c>
      <c r="AI66" s="143">
        <f t="shared" si="18"/>
        <v>85785</v>
      </c>
      <c r="AJ66" s="125">
        <f>AF66-'проезд Лизе к бюджету 2018'!B67</f>
        <v>75</v>
      </c>
      <c r="AK66" s="200">
        <f t="shared" si="19"/>
        <v>85785</v>
      </c>
      <c r="AL66" s="200">
        <f t="shared" si="20"/>
        <v>-150660</v>
      </c>
      <c r="AM66" s="200">
        <f t="shared" si="21"/>
        <v>-64875</v>
      </c>
      <c r="AN66" s="204">
        <f t="shared" si="22"/>
        <v>85800</v>
      </c>
      <c r="AO66" s="204">
        <f t="shared" si="23"/>
        <v>-150660</v>
      </c>
      <c r="AP66" s="207">
        <f t="shared" si="28"/>
        <v>-64860</v>
      </c>
      <c r="AQ66" s="154">
        <f t="shared" si="4"/>
        <v>-64860</v>
      </c>
    </row>
    <row r="67" spans="1:43" ht="14.4" x14ac:dyDescent="0.3">
      <c r="A67" s="21" t="s">
        <v>99</v>
      </c>
      <c r="B67" s="134" t="s">
        <v>100</v>
      </c>
      <c r="C67" s="95">
        <v>0</v>
      </c>
      <c r="D67" s="106">
        <v>15</v>
      </c>
      <c r="E67" s="101">
        <v>13</v>
      </c>
      <c r="F67" s="103">
        <f t="shared" si="5"/>
        <v>-2</v>
      </c>
      <c r="G67" s="111">
        <v>2</v>
      </c>
      <c r="H67" s="104">
        <v>0</v>
      </c>
      <c r="I67" s="105">
        <f t="shared" si="6"/>
        <v>-2</v>
      </c>
      <c r="J67" s="22">
        <f t="shared" si="32"/>
        <v>3</v>
      </c>
      <c r="K67" s="99">
        <f>ROUNDUP(E67/5,0)</f>
        <v>3</v>
      </c>
      <c r="L67" s="169">
        <f t="shared" si="7"/>
        <v>3</v>
      </c>
      <c r="M67" s="126">
        <f t="shared" si="25"/>
        <v>0</v>
      </c>
      <c r="N67" s="25">
        <v>2</v>
      </c>
      <c r="O67" s="119">
        <f t="shared" si="8"/>
        <v>55690</v>
      </c>
      <c r="P67" s="119">
        <f t="shared" si="9"/>
        <v>16818.38</v>
      </c>
      <c r="Q67" s="119">
        <f t="shared" si="1"/>
        <v>72508.38</v>
      </c>
      <c r="R67" s="24">
        <f t="shared" si="33"/>
        <v>2.9498525073746312E-3</v>
      </c>
      <c r="S67" s="120">
        <f t="shared" si="34"/>
        <v>1</v>
      </c>
      <c r="T67" s="121">
        <f t="shared" si="10"/>
        <v>27845</v>
      </c>
      <c r="U67" s="121">
        <f t="shared" si="11"/>
        <v>8409.19</v>
      </c>
      <c r="V67" s="121">
        <f t="shared" si="12"/>
        <v>36254.19</v>
      </c>
      <c r="W67" s="122">
        <f t="shared" si="13"/>
        <v>36300.000000000007</v>
      </c>
      <c r="X67" s="38">
        <f>W67+'проезд Лизе к бюджету 2018'!L67</f>
        <v>84800</v>
      </c>
      <c r="Y67" s="37" t="e">
        <f>#REF!+#REF!</f>
        <v>#REF!</v>
      </c>
      <c r="Z67" s="37" t="e">
        <f t="shared" si="27"/>
        <v>#REF!</v>
      </c>
      <c r="AA67" s="249"/>
      <c r="AB67" s="242"/>
      <c r="AC67" s="253"/>
      <c r="AD67" s="245"/>
      <c r="AE67" s="139"/>
      <c r="AF67" s="182">
        <f>ROUND(AE67/1450,0)</f>
        <v>0</v>
      </c>
      <c r="AG67" s="259"/>
      <c r="AH67" s="141">
        <f t="shared" si="17"/>
        <v>0</v>
      </c>
      <c r="AI67" s="143">
        <f t="shared" si="18"/>
        <v>0</v>
      </c>
      <c r="AJ67" s="125">
        <f>AF67-'проезд Лизе к бюджету 2018'!B68</f>
        <v>-7</v>
      </c>
      <c r="AK67" s="200">
        <f t="shared" si="19"/>
        <v>0</v>
      </c>
      <c r="AL67" s="200">
        <f t="shared" si="20"/>
        <v>0</v>
      </c>
      <c r="AM67" s="200">
        <f t="shared" si="21"/>
        <v>0</v>
      </c>
      <c r="AN67" s="204">
        <f t="shared" si="22"/>
        <v>0</v>
      </c>
      <c r="AO67" s="204">
        <f t="shared" si="23"/>
        <v>0</v>
      </c>
      <c r="AP67" s="207">
        <f t="shared" si="28"/>
        <v>0</v>
      </c>
      <c r="AQ67" s="154">
        <f t="shared" si="4"/>
        <v>0</v>
      </c>
    </row>
    <row r="68" spans="1:43" s="235" customFormat="1" ht="13.2" customHeight="1" x14ac:dyDescent="0.25">
      <c r="A68" s="209" t="s">
        <v>147</v>
      </c>
      <c r="B68" s="210" t="s">
        <v>101</v>
      </c>
      <c r="C68" s="211">
        <v>3</v>
      </c>
      <c r="D68" s="212">
        <v>57</v>
      </c>
      <c r="E68" s="212">
        <v>57</v>
      </c>
      <c r="F68" s="213">
        <f t="shared" si="5"/>
        <v>0</v>
      </c>
      <c r="G68" s="214">
        <v>23</v>
      </c>
      <c r="H68" s="215">
        <v>12</v>
      </c>
      <c r="I68" s="216">
        <f t="shared" si="6"/>
        <v>-11</v>
      </c>
      <c r="J68" s="217">
        <f t="shared" si="32"/>
        <v>12</v>
      </c>
      <c r="K68" s="218">
        <f t="shared" si="32"/>
        <v>12</v>
      </c>
      <c r="L68" s="219">
        <f t="shared" si="7"/>
        <v>0</v>
      </c>
      <c r="M68" s="220">
        <f t="shared" si="25"/>
        <v>12</v>
      </c>
      <c r="N68" s="221">
        <v>12</v>
      </c>
      <c r="O68" s="222">
        <f t="shared" si="8"/>
        <v>334140</v>
      </c>
      <c r="P68" s="222">
        <f t="shared" si="9"/>
        <v>100910.28</v>
      </c>
      <c r="Q68" s="222">
        <f t="shared" si="1"/>
        <v>435050.28</v>
      </c>
      <c r="R68" s="223">
        <f t="shared" si="33"/>
        <v>1.7699115044247787E-2</v>
      </c>
      <c r="S68" s="224">
        <f t="shared" si="34"/>
        <v>9</v>
      </c>
      <c r="T68" s="225">
        <f t="shared" si="10"/>
        <v>250605</v>
      </c>
      <c r="U68" s="225">
        <f t="shared" si="11"/>
        <v>75682.710000000006</v>
      </c>
      <c r="V68" s="225">
        <f t="shared" si="12"/>
        <v>326287.71000000002</v>
      </c>
      <c r="W68" s="226">
        <f t="shared" si="13"/>
        <v>326300</v>
      </c>
      <c r="X68" s="227">
        <f>W68+'проезд Лизе к бюджету 2018'!L68</f>
        <v>495900</v>
      </c>
      <c r="Y68" s="228" t="e">
        <f>#REF!+#REF!</f>
        <v>#REF!</v>
      </c>
      <c r="Z68" s="228" t="e">
        <f t="shared" si="27"/>
        <v>#REF!</v>
      </c>
      <c r="AA68" s="250">
        <v>343605</v>
      </c>
      <c r="AB68" s="243">
        <v>103495</v>
      </c>
      <c r="AC68" s="254">
        <f t="shared" si="15"/>
        <v>447100</v>
      </c>
      <c r="AD68" s="246">
        <f t="shared" si="16"/>
        <v>334140</v>
      </c>
      <c r="AE68" s="229">
        <v>8700</v>
      </c>
      <c r="AF68" s="230">
        <v>31</v>
      </c>
      <c r="AG68" s="261">
        <v>33212.520000000004</v>
      </c>
      <c r="AH68" s="262">
        <f t="shared" si="17"/>
        <v>412303</v>
      </c>
      <c r="AI68" s="231">
        <f t="shared" si="18"/>
        <v>68698</v>
      </c>
      <c r="AJ68" s="232">
        <f>AF68-'проезд Лизе к бюджету 2018'!B69</f>
        <v>31</v>
      </c>
      <c r="AK68" s="200">
        <f t="shared" si="19"/>
        <v>68698</v>
      </c>
      <c r="AL68" s="263">
        <f t="shared" si="20"/>
        <v>-103495</v>
      </c>
      <c r="AM68" s="233">
        <f t="shared" si="21"/>
        <v>-34797</v>
      </c>
      <c r="AN68" s="264">
        <f t="shared" si="22"/>
        <v>68699.999999999985</v>
      </c>
      <c r="AO68" s="204">
        <f t="shared" si="23"/>
        <v>-103495</v>
      </c>
      <c r="AP68" s="234">
        <f t="shared" si="28"/>
        <v>-34795.000000000015</v>
      </c>
      <c r="AQ68" s="154">
        <f t="shared" si="4"/>
        <v>-34795.000000000015</v>
      </c>
    </row>
    <row r="69" spans="1:43" s="235" customFormat="1" ht="14.4" x14ac:dyDescent="0.25">
      <c r="A69" s="209" t="s">
        <v>148</v>
      </c>
      <c r="B69" s="210" t="s">
        <v>102</v>
      </c>
      <c r="C69" s="211">
        <v>2</v>
      </c>
      <c r="D69" s="212">
        <v>70</v>
      </c>
      <c r="E69" s="212">
        <v>70</v>
      </c>
      <c r="F69" s="213">
        <f t="shared" ref="F69:F76" si="35">E69-D69</f>
        <v>0</v>
      </c>
      <c r="G69" s="214">
        <v>15</v>
      </c>
      <c r="H69" s="236">
        <v>17</v>
      </c>
      <c r="I69" s="216">
        <f t="shared" ref="I69:I76" si="36">H69-G69</f>
        <v>2</v>
      </c>
      <c r="J69" s="217">
        <f t="shared" si="32"/>
        <v>14</v>
      </c>
      <c r="K69" s="218">
        <v>17</v>
      </c>
      <c r="L69" s="219">
        <f t="shared" si="7"/>
        <v>0</v>
      </c>
      <c r="M69" s="220">
        <f t="shared" si="25"/>
        <v>17</v>
      </c>
      <c r="N69" s="221">
        <v>14</v>
      </c>
      <c r="O69" s="222">
        <f t="shared" si="8"/>
        <v>389830</v>
      </c>
      <c r="P69" s="222">
        <f t="shared" si="9"/>
        <v>117728.66</v>
      </c>
      <c r="Q69" s="222">
        <f t="shared" ref="Q69:Q75" si="37">O69+P69</f>
        <v>507558.66000000003</v>
      </c>
      <c r="R69" s="223">
        <f t="shared" si="33"/>
        <v>2.0648967551622419E-2</v>
      </c>
      <c r="S69" s="224">
        <f t="shared" si="34"/>
        <v>10</v>
      </c>
      <c r="T69" s="225">
        <f t="shared" si="10"/>
        <v>278450</v>
      </c>
      <c r="U69" s="225">
        <f t="shared" si="11"/>
        <v>84091.9</v>
      </c>
      <c r="V69" s="225">
        <f t="shared" si="12"/>
        <v>362541.9</v>
      </c>
      <c r="W69" s="226">
        <f t="shared" si="13"/>
        <v>362600</v>
      </c>
      <c r="X69" s="227">
        <f>W69+'проезд Лизе к бюджету 2018'!L69</f>
        <v>386900</v>
      </c>
      <c r="Y69" s="228" t="e">
        <f>#REF!+#REF!</f>
        <v>#REF!</v>
      </c>
      <c r="Z69" s="228" t="e">
        <f t="shared" si="27"/>
        <v>#REF!</v>
      </c>
      <c r="AA69" s="250">
        <v>315650</v>
      </c>
      <c r="AB69" s="243">
        <v>95450</v>
      </c>
      <c r="AC69" s="254">
        <f t="shared" ref="AC69:AC75" si="38">AA69+AB69</f>
        <v>411100</v>
      </c>
      <c r="AD69" s="246">
        <f>$K$2*M69</f>
        <v>473365</v>
      </c>
      <c r="AE69" s="229">
        <v>5800</v>
      </c>
      <c r="AF69" s="230">
        <v>40</v>
      </c>
      <c r="AG69" s="261">
        <v>33246.9</v>
      </c>
      <c r="AH69" s="262">
        <f t="shared" ref="AH69:AH75" si="39">ROUNDUP((1450*AF69)+AD69+AG69,0)</f>
        <v>564612</v>
      </c>
      <c r="AI69" s="231">
        <f t="shared" ref="AI69:AI75" si="40">AH69-AA69</f>
        <v>248962</v>
      </c>
      <c r="AJ69" s="232">
        <f>AF69-'проезд Лизе к бюджету 2018'!B70</f>
        <v>40</v>
      </c>
      <c r="AK69" s="200">
        <f t="shared" ref="AK69:AK75" si="41">AI69</f>
        <v>248962</v>
      </c>
      <c r="AL69" s="263">
        <f t="shared" ref="AL69:AL75" si="42">-AB69</f>
        <v>-95450</v>
      </c>
      <c r="AM69" s="233">
        <f t="shared" ref="AM69:AM75" si="43">SUM(AK69:AL69)</f>
        <v>153512</v>
      </c>
      <c r="AN69" s="264">
        <f t="shared" ref="AN69:AN75" si="44">IF(AK69&gt;=-99,IF(AK69&gt;0,ROUNDUP(AK69/1000,1),0),ROUNDDOWN(AK69/1000,1))*1000</f>
        <v>249000</v>
      </c>
      <c r="AO69" s="204">
        <f t="shared" ref="AO69:AO75" si="45">AL69</f>
        <v>-95450</v>
      </c>
      <c r="AP69" s="234">
        <f t="shared" si="28"/>
        <v>153550</v>
      </c>
      <c r="AQ69" s="154">
        <f t="shared" ref="AQ69:AQ75" si="46">AP69</f>
        <v>153550</v>
      </c>
    </row>
    <row r="70" spans="1:43" s="235" customFormat="1" ht="14.4" x14ac:dyDescent="0.25">
      <c r="A70" s="209" t="s">
        <v>149</v>
      </c>
      <c r="B70" s="210" t="s">
        <v>103</v>
      </c>
      <c r="C70" s="211">
        <v>1</v>
      </c>
      <c r="D70" s="212">
        <v>11</v>
      </c>
      <c r="E70" s="212">
        <v>11</v>
      </c>
      <c r="F70" s="213">
        <f t="shared" si="35"/>
        <v>0</v>
      </c>
      <c r="G70" s="214">
        <v>2</v>
      </c>
      <c r="H70" s="215">
        <v>2</v>
      </c>
      <c r="I70" s="216">
        <f t="shared" si="36"/>
        <v>0</v>
      </c>
      <c r="J70" s="217">
        <f t="shared" si="32"/>
        <v>3</v>
      </c>
      <c r="K70" s="218">
        <f t="shared" si="32"/>
        <v>3</v>
      </c>
      <c r="L70" s="219">
        <f t="shared" ref="L70:L76" si="47">K70-H70</f>
        <v>1</v>
      </c>
      <c r="M70" s="220">
        <f t="shared" si="25"/>
        <v>2</v>
      </c>
      <c r="N70" s="237">
        <v>2</v>
      </c>
      <c r="O70" s="222">
        <f t="shared" ref="O70:O75" si="48">N70*$J$2</f>
        <v>55690</v>
      </c>
      <c r="P70" s="222">
        <f t="shared" ref="P70:P75" si="49">O70*$P$2</f>
        <v>16818.38</v>
      </c>
      <c r="Q70" s="222">
        <f t="shared" si="37"/>
        <v>72508.38</v>
      </c>
      <c r="R70" s="223">
        <f t="shared" si="33"/>
        <v>2.9498525073746312E-3</v>
      </c>
      <c r="S70" s="224">
        <f t="shared" si="34"/>
        <v>1</v>
      </c>
      <c r="T70" s="225">
        <f t="shared" ref="T70:T75" si="50">S70*$J$2</f>
        <v>27845</v>
      </c>
      <c r="U70" s="225">
        <f t="shared" ref="U70:U75" si="51">ROUND(T70*$P$2,2)</f>
        <v>8409.19</v>
      </c>
      <c r="V70" s="225">
        <f t="shared" ref="V70:V75" si="52">T70+U70</f>
        <v>36254.19</v>
      </c>
      <c r="W70" s="226">
        <f t="shared" ref="W70:W75" si="53">IF(V70&gt;=-99,IF(V70&gt;0,ROUNDUP(V70/1000,1),0),ROUNDDOWN(V70/1000,1))*1000</f>
        <v>36300.000000000007</v>
      </c>
      <c r="X70" s="227">
        <f>W70+'проезд Лизе к бюджету 2018'!L70</f>
        <v>36300.000000000007</v>
      </c>
      <c r="Y70" s="228" t="e">
        <f>#REF!+#REF!</f>
        <v>#REF!</v>
      </c>
      <c r="Z70" s="228" t="e">
        <f t="shared" si="27"/>
        <v>#REF!</v>
      </c>
      <c r="AA70" s="250">
        <v>92890</v>
      </c>
      <c r="AB70" s="243">
        <v>28210</v>
      </c>
      <c r="AC70" s="254">
        <f t="shared" si="38"/>
        <v>121100</v>
      </c>
      <c r="AD70" s="246">
        <f t="shared" ref="AD70:AD75" si="54">$K$2*M70</f>
        <v>55690</v>
      </c>
      <c r="AE70" s="229">
        <v>2900</v>
      </c>
      <c r="AF70" s="230">
        <v>16</v>
      </c>
      <c r="AG70" s="261">
        <v>15885.4</v>
      </c>
      <c r="AH70" s="262">
        <f t="shared" si="39"/>
        <v>94776</v>
      </c>
      <c r="AI70" s="231">
        <f t="shared" si="40"/>
        <v>1886</v>
      </c>
      <c r="AJ70" s="232">
        <f>AF70-'проезд Лизе к бюджету 2018'!B71</f>
        <v>4</v>
      </c>
      <c r="AK70" s="200">
        <f t="shared" si="41"/>
        <v>1886</v>
      </c>
      <c r="AL70" s="263">
        <f t="shared" si="42"/>
        <v>-28210</v>
      </c>
      <c r="AM70" s="233">
        <f t="shared" si="43"/>
        <v>-26324</v>
      </c>
      <c r="AN70" s="264">
        <f t="shared" si="44"/>
        <v>1900.0000000000002</v>
      </c>
      <c r="AO70" s="204">
        <f t="shared" si="45"/>
        <v>-28210</v>
      </c>
      <c r="AP70" s="234">
        <f t="shared" si="28"/>
        <v>-26310</v>
      </c>
      <c r="AQ70" s="154">
        <f t="shared" si="46"/>
        <v>-26310</v>
      </c>
    </row>
    <row r="71" spans="1:43" ht="14.4" x14ac:dyDescent="0.3">
      <c r="A71" s="21" t="s">
        <v>56</v>
      </c>
      <c r="B71" s="134" t="s">
        <v>69</v>
      </c>
      <c r="C71" s="95"/>
      <c r="D71" s="106"/>
      <c r="E71" s="101">
        <v>14</v>
      </c>
      <c r="F71" s="103">
        <f t="shared" si="35"/>
        <v>14</v>
      </c>
      <c r="G71" s="111"/>
      <c r="H71" s="104">
        <v>2</v>
      </c>
      <c r="I71" s="105">
        <f t="shared" si="36"/>
        <v>2</v>
      </c>
      <c r="J71" s="22">
        <f t="shared" si="32"/>
        <v>0</v>
      </c>
      <c r="K71" s="99">
        <f t="shared" si="32"/>
        <v>3</v>
      </c>
      <c r="L71" s="169">
        <f t="shared" si="47"/>
        <v>1</v>
      </c>
      <c r="M71" s="126">
        <f>IF(H71&gt;K71,K71,H71)</f>
        <v>2</v>
      </c>
      <c r="N71" s="25"/>
      <c r="O71" s="119">
        <f t="shared" si="48"/>
        <v>0</v>
      </c>
      <c r="P71" s="119">
        <f t="shared" si="49"/>
        <v>0</v>
      </c>
      <c r="Q71" s="119">
        <f t="shared" si="37"/>
        <v>0</v>
      </c>
      <c r="R71" s="24">
        <f t="shared" si="33"/>
        <v>0</v>
      </c>
      <c r="S71" s="120">
        <f t="shared" si="34"/>
        <v>0</v>
      </c>
      <c r="T71" s="121">
        <f t="shared" si="50"/>
        <v>0</v>
      </c>
      <c r="U71" s="121">
        <f t="shared" si="51"/>
        <v>0</v>
      </c>
      <c r="V71" s="121">
        <f t="shared" si="52"/>
        <v>0</v>
      </c>
      <c r="W71" s="122">
        <f t="shared" si="53"/>
        <v>0</v>
      </c>
      <c r="X71" s="38">
        <f>W71+'проезд Лизе к бюджету 2018'!L71</f>
        <v>218000</v>
      </c>
      <c r="Y71" s="37" t="e">
        <f>#REF!+#REF!</f>
        <v>#REF!</v>
      </c>
      <c r="Z71" s="37" t="e">
        <f t="shared" si="27"/>
        <v>#REF!</v>
      </c>
      <c r="AA71" s="249">
        <v>55690</v>
      </c>
      <c r="AB71" s="242">
        <v>16910</v>
      </c>
      <c r="AC71" s="253">
        <f t="shared" si="38"/>
        <v>72600</v>
      </c>
      <c r="AD71" s="245">
        <f t="shared" si="54"/>
        <v>55690</v>
      </c>
      <c r="AE71" s="139"/>
      <c r="AF71" s="182">
        <f>ROUND(AE71/1450,0)</f>
        <v>0</v>
      </c>
      <c r="AG71" s="259"/>
      <c r="AH71" s="141">
        <f t="shared" si="39"/>
        <v>55690</v>
      </c>
      <c r="AI71" s="143">
        <f t="shared" si="40"/>
        <v>0</v>
      </c>
      <c r="AJ71" s="125">
        <f>AF71-'проезд Лизе к бюджету 2018'!B72</f>
        <v>-2</v>
      </c>
      <c r="AK71" s="200">
        <f t="shared" si="41"/>
        <v>0</v>
      </c>
      <c r="AL71" s="200">
        <f t="shared" si="42"/>
        <v>-16910</v>
      </c>
      <c r="AM71" s="200">
        <f t="shared" si="43"/>
        <v>-16910</v>
      </c>
      <c r="AN71" s="204">
        <f t="shared" si="44"/>
        <v>0</v>
      </c>
      <c r="AO71" s="204">
        <f t="shared" si="45"/>
        <v>-16910</v>
      </c>
      <c r="AP71" s="207">
        <f t="shared" si="28"/>
        <v>-16910</v>
      </c>
      <c r="AQ71" s="154">
        <f t="shared" si="46"/>
        <v>-16910</v>
      </c>
    </row>
    <row r="72" spans="1:43" ht="19.2" customHeight="1" x14ac:dyDescent="0.3">
      <c r="A72" s="21" t="s">
        <v>53</v>
      </c>
      <c r="B72" s="135" t="s">
        <v>104</v>
      </c>
      <c r="C72" s="95">
        <v>1</v>
      </c>
      <c r="D72" s="106">
        <v>41</v>
      </c>
      <c r="E72" s="101">
        <v>44</v>
      </c>
      <c r="F72" s="103">
        <f t="shared" si="35"/>
        <v>3</v>
      </c>
      <c r="G72" s="111">
        <v>7</v>
      </c>
      <c r="H72" s="104">
        <v>8</v>
      </c>
      <c r="I72" s="105">
        <f t="shared" si="36"/>
        <v>1</v>
      </c>
      <c r="J72" s="22">
        <f t="shared" si="32"/>
        <v>9</v>
      </c>
      <c r="K72" s="99">
        <f t="shared" si="32"/>
        <v>9</v>
      </c>
      <c r="L72" s="169">
        <f t="shared" si="47"/>
        <v>1</v>
      </c>
      <c r="M72" s="126">
        <f>IF(H72&gt;K72,K72,H72)</f>
        <v>8</v>
      </c>
      <c r="N72" s="27">
        <v>7</v>
      </c>
      <c r="O72" s="119">
        <f t="shared" si="48"/>
        <v>194915</v>
      </c>
      <c r="P72" s="119">
        <f t="shared" si="49"/>
        <v>58864.33</v>
      </c>
      <c r="Q72" s="119">
        <f t="shared" si="37"/>
        <v>253779.33000000002</v>
      </c>
      <c r="R72" s="24">
        <f t="shared" si="33"/>
        <v>1.0324483775811209E-2</v>
      </c>
      <c r="S72" s="120">
        <f t="shared" si="34"/>
        <v>5</v>
      </c>
      <c r="T72" s="121">
        <f t="shared" si="50"/>
        <v>139225</v>
      </c>
      <c r="U72" s="121">
        <f t="shared" si="51"/>
        <v>42045.95</v>
      </c>
      <c r="V72" s="121">
        <f t="shared" si="52"/>
        <v>181270.95</v>
      </c>
      <c r="W72" s="122">
        <f t="shared" si="53"/>
        <v>181299.99999999997</v>
      </c>
      <c r="X72" s="38">
        <f>W72+'проезд Лизе к бюджету 2018'!L72</f>
        <v>229799.99999999997</v>
      </c>
      <c r="Y72" s="37" t="e">
        <f>#REF!+#REF!</f>
        <v>#REF!</v>
      </c>
      <c r="Z72" s="37" t="e">
        <f t="shared" si="27"/>
        <v>#REF!</v>
      </c>
      <c r="AA72" s="249">
        <v>232115</v>
      </c>
      <c r="AB72" s="242">
        <v>70285</v>
      </c>
      <c r="AC72" s="253">
        <f t="shared" si="38"/>
        <v>302400</v>
      </c>
      <c r="AD72" s="245">
        <f t="shared" si="54"/>
        <v>222760</v>
      </c>
      <c r="AE72" s="139">
        <v>2940</v>
      </c>
      <c r="AF72" s="182">
        <v>13</v>
      </c>
      <c r="AG72" s="260">
        <v>10220.9</v>
      </c>
      <c r="AH72" s="141">
        <f t="shared" si="39"/>
        <v>251831</v>
      </c>
      <c r="AI72" s="143">
        <f t="shared" si="40"/>
        <v>19716</v>
      </c>
      <c r="AJ72" s="125">
        <f>AF72-'проезд Лизе к бюджету 2018'!B73</f>
        <v>13</v>
      </c>
      <c r="AK72" s="200">
        <f t="shared" si="41"/>
        <v>19716</v>
      </c>
      <c r="AL72" s="200">
        <f t="shared" si="42"/>
        <v>-70285</v>
      </c>
      <c r="AM72" s="200">
        <f t="shared" si="43"/>
        <v>-50569</v>
      </c>
      <c r="AN72" s="204">
        <f t="shared" si="44"/>
        <v>19800</v>
      </c>
      <c r="AO72" s="204">
        <f t="shared" si="45"/>
        <v>-70285</v>
      </c>
      <c r="AP72" s="207">
        <f t="shared" si="28"/>
        <v>-50485</v>
      </c>
      <c r="AQ72" s="154">
        <f t="shared" si="46"/>
        <v>-50485</v>
      </c>
    </row>
    <row r="73" spans="1:43" ht="14.4" x14ac:dyDescent="0.3">
      <c r="A73" s="21" t="s">
        <v>58</v>
      </c>
      <c r="B73" s="134" t="s">
        <v>105</v>
      </c>
      <c r="C73" s="95">
        <v>1</v>
      </c>
      <c r="D73" s="106">
        <v>35</v>
      </c>
      <c r="E73" s="101">
        <v>35</v>
      </c>
      <c r="F73" s="103">
        <f t="shared" si="35"/>
        <v>0</v>
      </c>
      <c r="G73" s="111">
        <v>8</v>
      </c>
      <c r="H73" s="104">
        <v>6</v>
      </c>
      <c r="I73" s="105">
        <f t="shared" si="36"/>
        <v>-2</v>
      </c>
      <c r="J73" s="22">
        <f t="shared" si="32"/>
        <v>7</v>
      </c>
      <c r="K73" s="99">
        <f t="shared" si="32"/>
        <v>7</v>
      </c>
      <c r="L73" s="169">
        <f t="shared" si="47"/>
        <v>1</v>
      </c>
      <c r="M73" s="126">
        <f>IF(H73&gt;K73,K73,H73)</f>
        <v>6</v>
      </c>
      <c r="N73" s="27">
        <v>8</v>
      </c>
      <c r="O73" s="119">
        <f t="shared" si="48"/>
        <v>222760</v>
      </c>
      <c r="P73" s="119">
        <f t="shared" si="49"/>
        <v>67273.52</v>
      </c>
      <c r="Q73" s="119">
        <f t="shared" si="37"/>
        <v>290033.52</v>
      </c>
      <c r="R73" s="24">
        <f t="shared" si="33"/>
        <v>1.1799410029498525E-2</v>
      </c>
      <c r="S73" s="120">
        <f t="shared" si="34"/>
        <v>6</v>
      </c>
      <c r="T73" s="121">
        <f t="shared" si="50"/>
        <v>167070</v>
      </c>
      <c r="U73" s="121">
        <f t="shared" si="51"/>
        <v>50455.14</v>
      </c>
      <c r="V73" s="121">
        <f t="shared" si="52"/>
        <v>217525.14</v>
      </c>
      <c r="W73" s="122">
        <f t="shared" si="53"/>
        <v>217600</v>
      </c>
      <c r="X73" s="38">
        <f>W73+'проезд Лизе к бюджету 2018'!L73</f>
        <v>217600</v>
      </c>
      <c r="Y73" s="37" t="e">
        <f>#REF!+#REF!</f>
        <v>#REF!</v>
      </c>
      <c r="Z73" s="37" t="e">
        <f t="shared" si="27"/>
        <v>#REF!</v>
      </c>
      <c r="AA73" s="249">
        <v>176425</v>
      </c>
      <c r="AB73" s="242">
        <v>53475</v>
      </c>
      <c r="AC73" s="253">
        <f t="shared" si="38"/>
        <v>229900</v>
      </c>
      <c r="AD73" s="245">
        <f t="shared" si="54"/>
        <v>167070</v>
      </c>
      <c r="AE73" s="139">
        <v>2900</v>
      </c>
      <c r="AF73" s="182">
        <v>16</v>
      </c>
      <c r="AG73" s="259">
        <v>11600</v>
      </c>
      <c r="AH73" s="141">
        <f t="shared" si="39"/>
        <v>201870</v>
      </c>
      <c r="AI73" s="143">
        <f t="shared" si="40"/>
        <v>25445</v>
      </c>
      <c r="AJ73" s="125">
        <f>AF73-'проезд Лизе к бюджету 2018'!B74</f>
        <v>14</v>
      </c>
      <c r="AK73" s="200">
        <f t="shared" si="41"/>
        <v>25445</v>
      </c>
      <c r="AL73" s="200">
        <f t="shared" si="42"/>
        <v>-53475</v>
      </c>
      <c r="AM73" s="200">
        <f t="shared" si="43"/>
        <v>-28030</v>
      </c>
      <c r="AN73" s="204">
        <f t="shared" si="44"/>
        <v>25500</v>
      </c>
      <c r="AO73" s="204">
        <f t="shared" si="45"/>
        <v>-53475</v>
      </c>
      <c r="AP73" s="207">
        <f t="shared" si="28"/>
        <v>-27975</v>
      </c>
      <c r="AQ73" s="154">
        <f t="shared" si="46"/>
        <v>-27975</v>
      </c>
    </row>
    <row r="74" spans="1:43" ht="14.4" x14ac:dyDescent="0.3">
      <c r="A74" s="21" t="s">
        <v>54</v>
      </c>
      <c r="B74" s="135" t="s">
        <v>106</v>
      </c>
      <c r="C74" s="95">
        <v>1</v>
      </c>
      <c r="D74" s="106">
        <v>63</v>
      </c>
      <c r="E74" s="101">
        <v>63</v>
      </c>
      <c r="F74" s="103">
        <f t="shared" si="35"/>
        <v>0</v>
      </c>
      <c r="G74" s="111">
        <v>14</v>
      </c>
      <c r="H74" s="104">
        <v>14</v>
      </c>
      <c r="I74" s="105">
        <f t="shared" si="36"/>
        <v>0</v>
      </c>
      <c r="J74" s="22">
        <f t="shared" si="32"/>
        <v>13</v>
      </c>
      <c r="K74" s="170">
        <f>ROUNDUP(E74/5,0)</f>
        <v>13</v>
      </c>
      <c r="L74" s="172">
        <f t="shared" si="47"/>
        <v>-1</v>
      </c>
      <c r="M74" s="126">
        <f>IF(H74&gt;K74,K74,H74)</f>
        <v>13</v>
      </c>
      <c r="N74" s="25">
        <v>13</v>
      </c>
      <c r="O74" s="119">
        <f t="shared" si="48"/>
        <v>361985</v>
      </c>
      <c r="P74" s="119">
        <f t="shared" si="49"/>
        <v>109319.47</v>
      </c>
      <c r="Q74" s="119">
        <f t="shared" si="37"/>
        <v>471304.47</v>
      </c>
      <c r="R74" s="24">
        <f t="shared" si="33"/>
        <v>1.9174041297935103E-2</v>
      </c>
      <c r="S74" s="120">
        <f t="shared" si="34"/>
        <v>10</v>
      </c>
      <c r="T74" s="121">
        <f t="shared" si="50"/>
        <v>278450</v>
      </c>
      <c r="U74" s="121">
        <f t="shared" si="51"/>
        <v>84091.9</v>
      </c>
      <c r="V74" s="121">
        <f t="shared" si="52"/>
        <v>362541.9</v>
      </c>
      <c r="W74" s="122">
        <f t="shared" si="53"/>
        <v>362600</v>
      </c>
      <c r="X74" s="38">
        <f>W74+'проезд Лизе к бюджету 2018'!L74</f>
        <v>411100</v>
      </c>
      <c r="Y74" s="37" t="e">
        <f>#REF!+#REF!</f>
        <v>#REF!</v>
      </c>
      <c r="Z74" s="37" t="e">
        <f t="shared" si="27"/>
        <v>#REF!</v>
      </c>
      <c r="AA74" s="249">
        <v>46445</v>
      </c>
      <c r="AB74" s="242">
        <v>14255</v>
      </c>
      <c r="AC74" s="253">
        <f t="shared" si="38"/>
        <v>60700</v>
      </c>
      <c r="AD74" s="245">
        <f t="shared" si="54"/>
        <v>361985</v>
      </c>
      <c r="AE74" s="139">
        <v>1450</v>
      </c>
      <c r="AF74" s="182">
        <v>8</v>
      </c>
      <c r="AG74" s="260">
        <v>5727.51</v>
      </c>
      <c r="AH74" s="141">
        <f t="shared" si="39"/>
        <v>379313</v>
      </c>
      <c r="AI74" s="143">
        <f t="shared" si="40"/>
        <v>332868</v>
      </c>
      <c r="AJ74" s="125">
        <f>AF74-'проезд Лизе к бюджету 2018'!B75</f>
        <v>8</v>
      </c>
      <c r="AK74" s="200">
        <f t="shared" si="41"/>
        <v>332868</v>
      </c>
      <c r="AL74" s="200">
        <f t="shared" si="42"/>
        <v>-14255</v>
      </c>
      <c r="AM74" s="200">
        <f t="shared" si="43"/>
        <v>318613</v>
      </c>
      <c r="AN74" s="204">
        <f t="shared" si="44"/>
        <v>332900.00000000006</v>
      </c>
      <c r="AO74" s="204">
        <f t="shared" si="45"/>
        <v>-14255</v>
      </c>
      <c r="AP74" s="207">
        <f t="shared" si="28"/>
        <v>318645.00000000006</v>
      </c>
      <c r="AQ74" s="154">
        <f t="shared" si="46"/>
        <v>318645.00000000006</v>
      </c>
    </row>
    <row r="75" spans="1:43" ht="14.4" x14ac:dyDescent="0.3">
      <c r="A75" s="21" t="s">
        <v>107</v>
      </c>
      <c r="B75" s="134" t="s">
        <v>108</v>
      </c>
      <c r="C75" s="95">
        <v>0</v>
      </c>
      <c r="D75" s="106">
        <v>46</v>
      </c>
      <c r="E75" s="101">
        <v>46</v>
      </c>
      <c r="F75" s="103">
        <f t="shared" si="35"/>
        <v>0</v>
      </c>
      <c r="G75" s="111">
        <v>5</v>
      </c>
      <c r="H75" s="104">
        <v>5</v>
      </c>
      <c r="I75" s="105">
        <f t="shared" si="36"/>
        <v>0</v>
      </c>
      <c r="J75" s="22">
        <f t="shared" si="32"/>
        <v>10</v>
      </c>
      <c r="K75" s="99">
        <f t="shared" si="32"/>
        <v>10</v>
      </c>
      <c r="L75" s="169">
        <f t="shared" si="47"/>
        <v>5</v>
      </c>
      <c r="M75" s="126">
        <f>IF(H75&gt;K75,K75,H75)</f>
        <v>5</v>
      </c>
      <c r="N75" s="27">
        <v>5</v>
      </c>
      <c r="O75" s="119">
        <f t="shared" si="48"/>
        <v>139225</v>
      </c>
      <c r="P75" s="119">
        <f t="shared" si="49"/>
        <v>42045.95</v>
      </c>
      <c r="Q75" s="119">
        <f t="shared" si="37"/>
        <v>181270.95</v>
      </c>
      <c r="R75" s="24">
        <f>N75/$N$76</f>
        <v>7.3746312684365781E-3</v>
      </c>
      <c r="S75" s="120">
        <f t="shared" si="34"/>
        <v>4</v>
      </c>
      <c r="T75" s="121">
        <f t="shared" si="50"/>
        <v>111380</v>
      </c>
      <c r="U75" s="121">
        <f t="shared" si="51"/>
        <v>33636.76</v>
      </c>
      <c r="V75" s="121">
        <f t="shared" si="52"/>
        <v>145016.76</v>
      </c>
      <c r="W75" s="122">
        <f t="shared" si="53"/>
        <v>145100</v>
      </c>
      <c r="X75" s="38">
        <f>W75+'проезд Лизе к бюджету 2018'!L75</f>
        <v>169400</v>
      </c>
      <c r="Y75" s="37" t="e">
        <f>#REF!+#REF!</f>
        <v>#REF!</v>
      </c>
      <c r="Z75" s="37" t="e">
        <f t="shared" si="27"/>
        <v>#REF!</v>
      </c>
      <c r="AA75" s="249">
        <v>111380</v>
      </c>
      <c r="AB75" s="242">
        <v>33720</v>
      </c>
      <c r="AC75" s="253">
        <f t="shared" si="38"/>
        <v>145100</v>
      </c>
      <c r="AD75" s="245">
        <f t="shared" si="54"/>
        <v>139225</v>
      </c>
      <c r="AE75" s="139"/>
      <c r="AF75" s="182">
        <f>ROUND(AE75/1450,0)</f>
        <v>0</v>
      </c>
      <c r="AG75" s="260"/>
      <c r="AH75" s="141">
        <f t="shared" si="39"/>
        <v>139225</v>
      </c>
      <c r="AI75" s="143">
        <f t="shared" si="40"/>
        <v>27845</v>
      </c>
      <c r="AJ75" s="125">
        <f>AF75-'проезд Лизе к бюджету 2018'!B76</f>
        <v>0</v>
      </c>
      <c r="AK75" s="200">
        <f t="shared" si="41"/>
        <v>27845</v>
      </c>
      <c r="AL75" s="200">
        <f t="shared" si="42"/>
        <v>-33720</v>
      </c>
      <c r="AM75" s="200">
        <f t="shared" si="43"/>
        <v>-5875</v>
      </c>
      <c r="AN75" s="204">
        <f t="shared" si="44"/>
        <v>27900.000000000004</v>
      </c>
      <c r="AO75" s="204">
        <f t="shared" si="45"/>
        <v>-33720</v>
      </c>
      <c r="AP75" s="207">
        <f t="shared" si="28"/>
        <v>-5819.9999999999964</v>
      </c>
      <c r="AQ75" s="154">
        <f t="shared" si="46"/>
        <v>-5819.9999999999964</v>
      </c>
    </row>
    <row r="76" spans="1:43" s="35" customFormat="1" ht="30.6" customHeight="1" thickBot="1" x14ac:dyDescent="0.35">
      <c r="A76" s="30"/>
      <c r="B76" s="136" t="s">
        <v>91</v>
      </c>
      <c r="C76" s="31">
        <f t="shared" ref="C76:T76" si="55">SUM(C4:C75)</f>
        <v>120</v>
      </c>
      <c r="D76" s="94">
        <f>SUM(D4:D75)</f>
        <v>3824</v>
      </c>
      <c r="E76" s="94">
        <f>SUM(E4:E75)</f>
        <v>3964</v>
      </c>
      <c r="F76" s="103">
        <f t="shared" si="35"/>
        <v>140</v>
      </c>
      <c r="G76" s="32">
        <f t="shared" si="55"/>
        <v>808</v>
      </c>
      <c r="H76" s="32">
        <f>SUM(H4:H75)</f>
        <v>772</v>
      </c>
      <c r="I76" s="105">
        <f t="shared" si="36"/>
        <v>-36</v>
      </c>
      <c r="J76" s="32">
        <f t="shared" si="55"/>
        <v>793</v>
      </c>
      <c r="K76" s="100">
        <f>SUM(K4:K75)</f>
        <v>824</v>
      </c>
      <c r="L76" s="169">
        <f t="shared" si="47"/>
        <v>52</v>
      </c>
      <c r="M76" s="153">
        <f t="shared" si="55"/>
        <v>723</v>
      </c>
      <c r="N76" s="32">
        <f t="shared" si="55"/>
        <v>678</v>
      </c>
      <c r="O76" s="33">
        <f t="shared" si="55"/>
        <v>18878910</v>
      </c>
      <c r="P76" s="33">
        <f t="shared" si="55"/>
        <v>5701430.8200000003</v>
      </c>
      <c r="Q76" s="33">
        <f t="shared" si="55"/>
        <v>24580340.819999985</v>
      </c>
      <c r="R76" s="34">
        <f t="shared" si="55"/>
        <v>1</v>
      </c>
      <c r="S76" s="34">
        <f t="shared" si="55"/>
        <v>494</v>
      </c>
      <c r="T76" s="34">
        <f t="shared" si="55"/>
        <v>13755430</v>
      </c>
      <c r="U76" s="34">
        <f>SUM(U4:U75)</f>
        <v>4154139.8599999989</v>
      </c>
      <c r="V76" s="34">
        <f>SUM(V4:V75)</f>
        <v>17909569.860000003</v>
      </c>
      <c r="W76" s="34">
        <f>SUM(W4:W75)</f>
        <v>17912800</v>
      </c>
      <c r="X76" s="82">
        <f>SUM(X4:X75)</f>
        <v>21645700</v>
      </c>
      <c r="AA76" s="251">
        <f>SUM(AA4:AA75)</f>
        <v>17536943</v>
      </c>
      <c r="AB76" s="252">
        <f>SUM(AB4:AB75)</f>
        <v>5296157</v>
      </c>
      <c r="AC76" s="255">
        <f>SUM(AC4:AC75)</f>
        <v>22833100</v>
      </c>
      <c r="AD76" s="247">
        <f>SUM(AD4:AD75)</f>
        <v>20131935</v>
      </c>
      <c r="AE76" s="151"/>
      <c r="AF76" s="201">
        <f t="shared" ref="AF76:AK76" si="56">SUM(AF4:AF75)</f>
        <v>1051</v>
      </c>
      <c r="AG76" s="201">
        <f t="shared" si="56"/>
        <v>820897.14000000036</v>
      </c>
      <c r="AH76" s="201">
        <f t="shared" si="56"/>
        <v>22476804</v>
      </c>
      <c r="AI76" s="201">
        <f t="shared" si="56"/>
        <v>4939861</v>
      </c>
      <c r="AJ76" s="201">
        <f t="shared" si="56"/>
        <v>906</v>
      </c>
      <c r="AK76" s="201">
        <f t="shared" si="56"/>
        <v>4939861</v>
      </c>
      <c r="AL76" s="201">
        <f t="shared" ref="AL76:AQ76" si="57">SUM(AL4:AL75)</f>
        <v>-5296157</v>
      </c>
      <c r="AM76" s="201">
        <f t="shared" si="57"/>
        <v>-356296</v>
      </c>
      <c r="AN76" s="205">
        <f t="shared" si="57"/>
        <v>4943000</v>
      </c>
      <c r="AO76" s="205">
        <f t="shared" si="57"/>
        <v>-5296157</v>
      </c>
      <c r="AP76" s="205">
        <f t="shared" si="57"/>
        <v>-353157.00000000017</v>
      </c>
      <c r="AQ76" s="142">
        <f t="shared" si="57"/>
        <v>-3510.000000000171</v>
      </c>
    </row>
    <row r="77" spans="1:43" x14ac:dyDescent="0.25">
      <c r="M77" s="38">
        <f>M76-M68-M69-M70</f>
        <v>692</v>
      </c>
      <c r="AD77" s="240">
        <f>AD76-AD68-AD69-AD70</f>
        <v>19268740</v>
      </c>
    </row>
    <row r="78" spans="1:43" x14ac:dyDescent="0.25">
      <c r="T78" s="123">
        <f>W76+'[1]проезд Лизе к бюджету 2018'!K79</f>
        <v>21642248.800000001</v>
      </c>
    </row>
    <row r="79" spans="1:43" ht="13.8" x14ac:dyDescent="0.25">
      <c r="N79" s="36">
        <f>N76-S76</f>
        <v>184</v>
      </c>
      <c r="O79" s="179">
        <f>N79*J2*1.302</f>
        <v>6670770.96</v>
      </c>
      <c r="Q79" s="179">
        <v>18882200</v>
      </c>
      <c r="W79" s="124">
        <f>Q79-W76</f>
        <v>969400</v>
      </c>
      <c r="AD79" s="266">
        <f>AD77+AD68+AD69+AD70</f>
        <v>20131935</v>
      </c>
      <c r="AF79" s="7">
        <f>AF76*1450</f>
        <v>1523950</v>
      </c>
      <c r="AH79" s="142">
        <v>22675454</v>
      </c>
    </row>
    <row r="80" spans="1:43" ht="13.8" x14ac:dyDescent="0.25">
      <c r="AH80" s="142">
        <f>AH79-AH76</f>
        <v>198650</v>
      </c>
    </row>
    <row r="81" spans="15:37" x14ac:dyDescent="0.25">
      <c r="O81" s="179">
        <f>Q79/1.302</f>
        <v>14502457.757296467</v>
      </c>
      <c r="P81" s="179">
        <f>O81*0.302</f>
        <v>4379742.2427035328</v>
      </c>
      <c r="T81" s="125">
        <f>'[1]проезд Лизе к бюджету 2018'!E79+'[1]отдых для Лизы к бюджету 2018'!D74</f>
        <v>21597800</v>
      </c>
      <c r="W81" s="125">
        <f>'[1]проезд Лизе к бюджету 2018'!L82</f>
        <v>1017300</v>
      </c>
    </row>
    <row r="82" spans="15:37" x14ac:dyDescent="0.25">
      <c r="O82" s="179">
        <f>O81/J2</f>
        <v>520.82807532039749</v>
      </c>
      <c r="V82" s="179">
        <f>W81/(J2*1.302)</f>
        <v>28.060204903212565</v>
      </c>
    </row>
    <row r="83" spans="15:37" x14ac:dyDescent="0.25">
      <c r="O83" s="179">
        <f>521-28+7</f>
        <v>500</v>
      </c>
      <c r="T83" s="123">
        <f>T81-T78</f>
        <v>-44448.800000000745</v>
      </c>
    </row>
    <row r="84" spans="15:37" x14ac:dyDescent="0.25">
      <c r="O84" s="124">
        <f>N76-O82</f>
        <v>157.17192467960251</v>
      </c>
      <c r="T84" s="179">
        <f>T83/(J2*1.302)</f>
        <v>-1.2260320807057266</v>
      </c>
    </row>
    <row r="86" spans="15:37" x14ac:dyDescent="0.25">
      <c r="AH86" s="267"/>
      <c r="AI86" s="38"/>
    </row>
    <row r="87" spans="15:37" x14ac:dyDescent="0.25">
      <c r="AI87" s="38"/>
      <c r="AK87" s="38"/>
    </row>
  </sheetData>
  <autoFilter ref="A3:AQ79" xr:uid="{00000000-0009-0000-0000-000007000000}"/>
  <mergeCells count="9">
    <mergeCell ref="AQ1:AQ3"/>
    <mergeCell ref="AA2:AB2"/>
    <mergeCell ref="AK2:AL2"/>
    <mergeCell ref="AN2:AO2"/>
    <mergeCell ref="R1:W1"/>
    <mergeCell ref="AA1:AB1"/>
    <mergeCell ref="AC1:AC3"/>
    <mergeCell ref="AM1:AM3"/>
    <mergeCell ref="AP1:AP3"/>
  </mergeCells>
  <conditionalFormatting sqref="AJ4:AJ75">
    <cfRule type="cellIs" dxfId="1" priority="1" operator="greaterThan">
      <formula>0</formula>
    </cfRule>
  </conditionalFormatting>
  <printOptions verticalCentered="1"/>
  <pageMargins left="0.70866141732283472" right="0.70866141732283472" top="0" bottom="0" header="0.31496062992125984" footer="0.31496062992125984"/>
  <pageSetup paperSize="9" scale="6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70"/>
  <sheetViews>
    <sheetView workbookViewId="0">
      <selection activeCell="B44" sqref="A44:XFD44"/>
    </sheetView>
  </sheetViews>
  <sheetFormatPr defaultColWidth="9.109375" defaultRowHeight="15.6" x14ac:dyDescent="0.3"/>
  <cols>
    <col min="1" max="1" width="42.88671875" style="159" customWidth="1"/>
    <col min="2" max="2" width="12.5546875" style="159" customWidth="1"/>
    <col min="3" max="3" width="15.6640625" style="167" customWidth="1"/>
    <col min="4" max="4" width="10.5546875" style="159" customWidth="1"/>
    <col min="5" max="16384" width="9.109375" style="159"/>
  </cols>
  <sheetData>
    <row r="2" spans="1:5" ht="31.2" x14ac:dyDescent="0.3">
      <c r="A2" s="158" t="s">
        <v>142</v>
      </c>
      <c r="B2" s="158" t="s">
        <v>143</v>
      </c>
      <c r="C2" s="158" t="s">
        <v>150</v>
      </c>
      <c r="D2" s="158" t="s">
        <v>146</v>
      </c>
    </row>
    <row r="3" spans="1:5" ht="46.8" x14ac:dyDescent="0.3">
      <c r="A3" s="162" t="s">
        <v>9</v>
      </c>
      <c r="B3" s="160">
        <v>11</v>
      </c>
      <c r="C3" s="166">
        <v>306295</v>
      </c>
      <c r="D3" s="161">
        <f>ROUNDUP(C3/1000,1)</f>
        <v>306.3</v>
      </c>
      <c r="E3" s="159">
        <f>B3*2.5*11138</f>
        <v>306295</v>
      </c>
    </row>
    <row r="4" spans="1:5" ht="31.2" x14ac:dyDescent="0.3">
      <c r="A4" s="162" t="s">
        <v>10</v>
      </c>
      <c r="B4" s="160">
        <v>8</v>
      </c>
      <c r="C4" s="166">
        <v>222760</v>
      </c>
      <c r="D4" s="161">
        <f t="shared" ref="D4:D67" si="0">ROUNDUP(C4/1000,1)</f>
        <v>222.79999999999998</v>
      </c>
    </row>
    <row r="5" spans="1:5" ht="31.2" x14ac:dyDescent="0.3">
      <c r="A5" s="162" t="s">
        <v>44</v>
      </c>
      <c r="B5" s="160">
        <v>15</v>
      </c>
      <c r="C5" s="166">
        <v>417675</v>
      </c>
      <c r="D5" s="161">
        <f t="shared" si="0"/>
        <v>417.70000000000005</v>
      </c>
    </row>
    <row r="6" spans="1:5" ht="31.2" x14ac:dyDescent="0.3">
      <c r="A6" s="163" t="s">
        <v>6</v>
      </c>
      <c r="B6" s="160">
        <v>10</v>
      </c>
      <c r="C6" s="166">
        <v>278450</v>
      </c>
      <c r="D6" s="161">
        <f t="shared" si="0"/>
        <v>278.5</v>
      </c>
    </row>
    <row r="7" spans="1:5" ht="46.8" x14ac:dyDescent="0.3">
      <c r="A7" s="162" t="s">
        <v>45</v>
      </c>
      <c r="B7" s="160">
        <v>13</v>
      </c>
      <c r="C7" s="166">
        <v>361985</v>
      </c>
      <c r="D7" s="161">
        <f t="shared" si="0"/>
        <v>362</v>
      </c>
    </row>
    <row r="8" spans="1:5" ht="46.8" x14ac:dyDescent="0.3">
      <c r="A8" s="162" t="s">
        <v>11</v>
      </c>
      <c r="B8" s="160">
        <v>13</v>
      </c>
      <c r="C8" s="166">
        <v>361985</v>
      </c>
      <c r="D8" s="161">
        <f t="shared" si="0"/>
        <v>362</v>
      </c>
    </row>
    <row r="9" spans="1:5" ht="31.2" x14ac:dyDescent="0.3">
      <c r="A9" s="162" t="s">
        <v>46</v>
      </c>
      <c r="B9" s="160">
        <v>17</v>
      </c>
      <c r="C9" s="166">
        <v>473365</v>
      </c>
      <c r="D9" s="161">
        <f t="shared" si="0"/>
        <v>473.40000000000003</v>
      </c>
    </row>
    <row r="10" spans="1:5" ht="31.2" x14ac:dyDescent="0.3">
      <c r="A10" s="162" t="s">
        <v>24</v>
      </c>
      <c r="B10" s="160">
        <v>8</v>
      </c>
      <c r="C10" s="166">
        <v>222760</v>
      </c>
      <c r="D10" s="161">
        <f t="shared" si="0"/>
        <v>222.79999999999998</v>
      </c>
    </row>
    <row r="11" spans="1:5" ht="31.2" x14ac:dyDescent="0.3">
      <c r="A11" s="162" t="s">
        <v>43</v>
      </c>
      <c r="B11" s="160">
        <v>9</v>
      </c>
      <c r="C11" s="166">
        <v>250605</v>
      </c>
      <c r="D11" s="161">
        <f t="shared" si="0"/>
        <v>250.7</v>
      </c>
    </row>
    <row r="12" spans="1:5" ht="31.2" x14ac:dyDescent="0.3">
      <c r="A12" s="162" t="s">
        <v>5</v>
      </c>
      <c r="B12" s="160">
        <v>12</v>
      </c>
      <c r="C12" s="166">
        <v>334140</v>
      </c>
      <c r="D12" s="161">
        <f t="shared" si="0"/>
        <v>334.20000000000005</v>
      </c>
    </row>
    <row r="13" spans="1:5" ht="31.2" x14ac:dyDescent="0.3">
      <c r="A13" s="162" t="s">
        <v>39</v>
      </c>
      <c r="B13" s="160">
        <v>3</v>
      </c>
      <c r="C13" s="166">
        <v>83535</v>
      </c>
      <c r="D13" s="161">
        <f t="shared" si="0"/>
        <v>83.6</v>
      </c>
    </row>
    <row r="14" spans="1:5" ht="31.2" x14ac:dyDescent="0.3">
      <c r="A14" s="162" t="s">
        <v>12</v>
      </c>
      <c r="B14" s="160">
        <v>12</v>
      </c>
      <c r="C14" s="166">
        <v>334140</v>
      </c>
      <c r="D14" s="161">
        <f t="shared" si="0"/>
        <v>334.20000000000005</v>
      </c>
    </row>
    <row r="15" spans="1:5" ht="54" customHeight="1" x14ac:dyDescent="0.3">
      <c r="A15" s="162" t="s">
        <v>13</v>
      </c>
      <c r="B15" s="160">
        <v>11</v>
      </c>
      <c r="C15" s="166">
        <v>306295</v>
      </c>
      <c r="D15" s="161">
        <f t="shared" si="0"/>
        <v>306.3</v>
      </c>
    </row>
    <row r="16" spans="1:5" ht="31.2" x14ac:dyDescent="0.3">
      <c r="A16" s="162" t="s">
        <v>14</v>
      </c>
      <c r="B16" s="160">
        <v>10</v>
      </c>
      <c r="C16" s="166">
        <v>278450</v>
      </c>
      <c r="D16" s="161">
        <f t="shared" si="0"/>
        <v>278.5</v>
      </c>
    </row>
    <row r="17" spans="1:4" ht="31.2" x14ac:dyDescent="0.3">
      <c r="A17" s="162" t="s">
        <v>47</v>
      </c>
      <c r="B17" s="160">
        <v>9</v>
      </c>
      <c r="C17" s="166">
        <v>250605</v>
      </c>
      <c r="D17" s="161">
        <f t="shared" si="0"/>
        <v>250.7</v>
      </c>
    </row>
    <row r="18" spans="1:4" ht="31.2" x14ac:dyDescent="0.3">
      <c r="A18" s="162" t="s">
        <v>48</v>
      </c>
      <c r="B18" s="160">
        <v>8</v>
      </c>
      <c r="C18" s="166">
        <v>222760</v>
      </c>
      <c r="D18" s="161">
        <f t="shared" si="0"/>
        <v>222.79999999999998</v>
      </c>
    </row>
    <row r="19" spans="1:4" ht="31.2" x14ac:dyDescent="0.3">
      <c r="A19" s="162" t="s">
        <v>0</v>
      </c>
      <c r="B19" s="160">
        <v>13</v>
      </c>
      <c r="C19" s="166">
        <v>361985</v>
      </c>
      <c r="D19" s="161">
        <f t="shared" si="0"/>
        <v>362</v>
      </c>
    </row>
    <row r="20" spans="1:4" ht="31.2" x14ac:dyDescent="0.3">
      <c r="A20" s="162" t="s">
        <v>1</v>
      </c>
      <c r="B20" s="160">
        <v>18</v>
      </c>
      <c r="C20" s="166">
        <v>501210</v>
      </c>
      <c r="D20" s="161">
        <f t="shared" si="0"/>
        <v>501.3</v>
      </c>
    </row>
    <row r="21" spans="1:4" ht="31.2" x14ac:dyDescent="0.3">
      <c r="A21" s="162" t="s">
        <v>2</v>
      </c>
      <c r="B21" s="160">
        <v>5</v>
      </c>
      <c r="C21" s="166">
        <v>139225</v>
      </c>
      <c r="D21" s="161">
        <f t="shared" si="0"/>
        <v>139.29999999999998</v>
      </c>
    </row>
    <row r="22" spans="1:4" ht="31.2" x14ac:dyDescent="0.3">
      <c r="A22" s="162" t="s">
        <v>3</v>
      </c>
      <c r="B22" s="160">
        <v>7</v>
      </c>
      <c r="C22" s="166">
        <v>194915</v>
      </c>
      <c r="D22" s="161">
        <f t="shared" si="0"/>
        <v>195</v>
      </c>
    </row>
    <row r="23" spans="1:4" ht="31.2" x14ac:dyDescent="0.3">
      <c r="A23" s="162" t="s">
        <v>4</v>
      </c>
      <c r="B23" s="160">
        <v>9</v>
      </c>
      <c r="C23" s="166">
        <v>250605</v>
      </c>
      <c r="D23" s="161">
        <f t="shared" si="0"/>
        <v>250.7</v>
      </c>
    </row>
    <row r="24" spans="1:4" ht="31.2" x14ac:dyDescent="0.3">
      <c r="A24" s="162" t="s">
        <v>15</v>
      </c>
      <c r="B24" s="160">
        <v>10</v>
      </c>
      <c r="C24" s="166">
        <v>278450</v>
      </c>
      <c r="D24" s="161">
        <f t="shared" si="0"/>
        <v>278.5</v>
      </c>
    </row>
    <row r="25" spans="1:4" ht="31.2" x14ac:dyDescent="0.3">
      <c r="A25" s="162" t="s">
        <v>16</v>
      </c>
      <c r="B25" s="160">
        <v>14</v>
      </c>
      <c r="C25" s="166">
        <v>389830</v>
      </c>
      <c r="D25" s="161">
        <f t="shared" si="0"/>
        <v>389.90000000000003</v>
      </c>
    </row>
    <row r="26" spans="1:4" ht="31.2" x14ac:dyDescent="0.3">
      <c r="A26" s="162" t="s">
        <v>17</v>
      </c>
      <c r="B26" s="160">
        <v>7</v>
      </c>
      <c r="C26" s="166">
        <v>194915</v>
      </c>
      <c r="D26" s="161">
        <f t="shared" si="0"/>
        <v>195</v>
      </c>
    </row>
    <row r="27" spans="1:4" ht="31.2" x14ac:dyDescent="0.3">
      <c r="A27" s="162" t="s">
        <v>18</v>
      </c>
      <c r="B27" s="160">
        <v>10</v>
      </c>
      <c r="C27" s="166">
        <v>278450</v>
      </c>
      <c r="D27" s="161">
        <f t="shared" si="0"/>
        <v>278.5</v>
      </c>
    </row>
    <row r="28" spans="1:4" ht="31.2" x14ac:dyDescent="0.3">
      <c r="A28" s="162" t="s">
        <v>19</v>
      </c>
      <c r="B28" s="160">
        <v>6</v>
      </c>
      <c r="C28" s="166">
        <v>167070</v>
      </c>
      <c r="D28" s="161">
        <f t="shared" si="0"/>
        <v>167.1</v>
      </c>
    </row>
    <row r="29" spans="1:4" ht="31.2" x14ac:dyDescent="0.3">
      <c r="A29" s="162" t="s">
        <v>41</v>
      </c>
      <c r="B29" s="160">
        <v>13</v>
      </c>
      <c r="C29" s="166">
        <v>361985</v>
      </c>
      <c r="D29" s="161">
        <f t="shared" si="0"/>
        <v>362</v>
      </c>
    </row>
    <row r="30" spans="1:4" ht="31.2" x14ac:dyDescent="0.3">
      <c r="A30" s="162" t="s">
        <v>60</v>
      </c>
      <c r="B30" s="160">
        <v>13</v>
      </c>
      <c r="C30" s="166">
        <v>361985</v>
      </c>
      <c r="D30" s="161">
        <f t="shared" si="0"/>
        <v>362</v>
      </c>
    </row>
    <row r="31" spans="1:4" ht="31.2" x14ac:dyDescent="0.3">
      <c r="A31" s="162" t="s">
        <v>20</v>
      </c>
      <c r="B31" s="160">
        <v>7</v>
      </c>
      <c r="C31" s="166">
        <v>194915</v>
      </c>
      <c r="D31" s="161">
        <f t="shared" si="0"/>
        <v>195</v>
      </c>
    </row>
    <row r="32" spans="1:4" ht="31.2" x14ac:dyDescent="0.3">
      <c r="A32" s="162" t="s">
        <v>7</v>
      </c>
      <c r="B32" s="160">
        <v>12</v>
      </c>
      <c r="C32" s="166">
        <v>334140</v>
      </c>
      <c r="D32" s="161">
        <f t="shared" si="0"/>
        <v>334.20000000000005</v>
      </c>
    </row>
    <row r="33" spans="1:4" ht="46.8" x14ac:dyDescent="0.3">
      <c r="A33" s="162" t="s">
        <v>21</v>
      </c>
      <c r="B33" s="160">
        <v>14</v>
      </c>
      <c r="C33" s="166">
        <v>389830</v>
      </c>
      <c r="D33" s="161">
        <f t="shared" si="0"/>
        <v>389.90000000000003</v>
      </c>
    </row>
    <row r="34" spans="1:4" ht="31.2" x14ac:dyDescent="0.3">
      <c r="A34" s="162" t="s">
        <v>22</v>
      </c>
      <c r="B34" s="160">
        <v>7</v>
      </c>
      <c r="C34" s="166">
        <v>194915</v>
      </c>
      <c r="D34" s="161">
        <f t="shared" si="0"/>
        <v>195</v>
      </c>
    </row>
    <row r="35" spans="1:4" ht="31.2" x14ac:dyDescent="0.3">
      <c r="A35" s="162" t="s">
        <v>23</v>
      </c>
      <c r="B35" s="160">
        <v>6</v>
      </c>
      <c r="C35" s="166">
        <v>167070</v>
      </c>
      <c r="D35" s="161">
        <f t="shared" si="0"/>
        <v>167.1</v>
      </c>
    </row>
    <row r="36" spans="1:4" ht="50.25" customHeight="1" x14ac:dyDescent="0.3">
      <c r="A36" s="162" t="s">
        <v>25</v>
      </c>
      <c r="B36" s="160">
        <v>11</v>
      </c>
      <c r="C36" s="166">
        <v>306295</v>
      </c>
      <c r="D36" s="161">
        <f t="shared" si="0"/>
        <v>306.3</v>
      </c>
    </row>
    <row r="37" spans="1:4" ht="31.2" x14ac:dyDescent="0.3">
      <c r="A37" s="162" t="s">
        <v>26</v>
      </c>
      <c r="B37" s="160">
        <v>10</v>
      </c>
      <c r="C37" s="166">
        <v>278450</v>
      </c>
      <c r="D37" s="161">
        <f t="shared" si="0"/>
        <v>278.5</v>
      </c>
    </row>
    <row r="38" spans="1:4" ht="31.2" x14ac:dyDescent="0.3">
      <c r="A38" s="162" t="s">
        <v>8</v>
      </c>
      <c r="B38" s="160">
        <v>13</v>
      </c>
      <c r="C38" s="166">
        <v>361985</v>
      </c>
      <c r="D38" s="161">
        <f t="shared" si="0"/>
        <v>362</v>
      </c>
    </row>
    <row r="39" spans="1:4" ht="31.2" x14ac:dyDescent="0.3">
      <c r="A39" s="162" t="s">
        <v>27</v>
      </c>
      <c r="B39" s="160">
        <v>10</v>
      </c>
      <c r="C39" s="166">
        <v>278450</v>
      </c>
      <c r="D39" s="161">
        <f t="shared" si="0"/>
        <v>278.5</v>
      </c>
    </row>
    <row r="40" spans="1:4" ht="31.2" x14ac:dyDescent="0.3">
      <c r="A40" s="162" t="s">
        <v>28</v>
      </c>
      <c r="B40" s="160">
        <v>15</v>
      </c>
      <c r="C40" s="166">
        <v>417675</v>
      </c>
      <c r="D40" s="161">
        <f t="shared" si="0"/>
        <v>417.70000000000005</v>
      </c>
    </row>
    <row r="41" spans="1:4" ht="31.2" x14ac:dyDescent="0.3">
      <c r="A41" s="162" t="s">
        <v>29</v>
      </c>
      <c r="B41" s="160">
        <v>7</v>
      </c>
      <c r="C41" s="166">
        <v>194915</v>
      </c>
      <c r="D41" s="161">
        <f t="shared" si="0"/>
        <v>195</v>
      </c>
    </row>
    <row r="42" spans="1:4" ht="31.2" x14ac:dyDescent="0.3">
      <c r="A42" s="162" t="s">
        <v>30</v>
      </c>
      <c r="B42" s="160">
        <v>8</v>
      </c>
      <c r="C42" s="166">
        <v>222760</v>
      </c>
      <c r="D42" s="161">
        <f t="shared" si="0"/>
        <v>222.79999999999998</v>
      </c>
    </row>
    <row r="43" spans="1:4" ht="31.2" x14ac:dyDescent="0.3">
      <c r="A43" s="162" t="s">
        <v>38</v>
      </c>
      <c r="B43" s="160">
        <v>18</v>
      </c>
      <c r="C43" s="166">
        <v>501210</v>
      </c>
      <c r="D43" s="161">
        <f t="shared" si="0"/>
        <v>501.3</v>
      </c>
    </row>
    <row r="44" spans="1:4" ht="31.2" x14ac:dyDescent="0.3">
      <c r="A44" s="162" t="s">
        <v>49</v>
      </c>
      <c r="B44" s="160">
        <v>9</v>
      </c>
      <c r="C44" s="166">
        <v>250605</v>
      </c>
      <c r="D44" s="161">
        <f t="shared" si="0"/>
        <v>250.7</v>
      </c>
    </row>
    <row r="45" spans="1:4" ht="31.2" x14ac:dyDescent="0.3">
      <c r="A45" s="162" t="s">
        <v>31</v>
      </c>
      <c r="B45" s="160">
        <v>14</v>
      </c>
      <c r="C45" s="166">
        <v>389830</v>
      </c>
      <c r="D45" s="161">
        <f t="shared" si="0"/>
        <v>389.90000000000003</v>
      </c>
    </row>
    <row r="46" spans="1:4" ht="31.2" x14ac:dyDescent="0.3">
      <c r="A46" s="162" t="s">
        <v>32</v>
      </c>
      <c r="B46" s="160">
        <v>10</v>
      </c>
      <c r="C46" s="166">
        <v>278450</v>
      </c>
      <c r="D46" s="161">
        <f t="shared" si="0"/>
        <v>278.5</v>
      </c>
    </row>
    <row r="47" spans="1:4" ht="46.8" x14ac:dyDescent="0.3">
      <c r="A47" s="162" t="s">
        <v>33</v>
      </c>
      <c r="B47" s="160">
        <v>14</v>
      </c>
      <c r="C47" s="166">
        <v>389830</v>
      </c>
      <c r="D47" s="161">
        <f t="shared" si="0"/>
        <v>389.90000000000003</v>
      </c>
    </row>
    <row r="48" spans="1:4" ht="31.2" x14ac:dyDescent="0.3">
      <c r="A48" s="162" t="s">
        <v>34</v>
      </c>
      <c r="B48" s="160">
        <v>9</v>
      </c>
      <c r="C48" s="166">
        <v>250605</v>
      </c>
      <c r="D48" s="161">
        <f t="shared" si="0"/>
        <v>250.7</v>
      </c>
    </row>
    <row r="49" spans="1:4" ht="31.2" x14ac:dyDescent="0.3">
      <c r="A49" s="162" t="s">
        <v>40</v>
      </c>
      <c r="B49" s="160">
        <v>13</v>
      </c>
      <c r="C49" s="166">
        <v>361985</v>
      </c>
      <c r="D49" s="161">
        <f t="shared" si="0"/>
        <v>362</v>
      </c>
    </row>
    <row r="50" spans="1:4" ht="31.2" x14ac:dyDescent="0.3">
      <c r="A50" s="162" t="s">
        <v>37</v>
      </c>
      <c r="B50" s="160">
        <v>8</v>
      </c>
      <c r="C50" s="166">
        <v>222760</v>
      </c>
      <c r="D50" s="161">
        <f t="shared" si="0"/>
        <v>222.79999999999998</v>
      </c>
    </row>
    <row r="51" spans="1:4" ht="31.2" x14ac:dyDescent="0.3">
      <c r="A51" s="162" t="s">
        <v>35</v>
      </c>
      <c r="B51" s="160">
        <v>9</v>
      </c>
      <c r="C51" s="166">
        <v>250605</v>
      </c>
      <c r="D51" s="161">
        <f t="shared" si="0"/>
        <v>250.7</v>
      </c>
    </row>
    <row r="52" spans="1:4" ht="46.8" x14ac:dyDescent="0.3">
      <c r="A52" s="162" t="s">
        <v>36</v>
      </c>
      <c r="B52" s="160">
        <v>10</v>
      </c>
      <c r="C52" s="166">
        <v>278450</v>
      </c>
      <c r="D52" s="161">
        <f t="shared" si="0"/>
        <v>278.5</v>
      </c>
    </row>
    <row r="53" spans="1:4" ht="31.2" x14ac:dyDescent="0.3">
      <c r="A53" s="162" t="s">
        <v>42</v>
      </c>
      <c r="B53" s="160">
        <v>9</v>
      </c>
      <c r="C53" s="166">
        <v>250605</v>
      </c>
      <c r="D53" s="161">
        <f t="shared" si="0"/>
        <v>250.7</v>
      </c>
    </row>
    <row r="54" spans="1:4" ht="31.2" x14ac:dyDescent="0.3">
      <c r="A54" s="162" t="s">
        <v>63</v>
      </c>
      <c r="B54" s="160">
        <v>15</v>
      </c>
      <c r="C54" s="166">
        <v>417675</v>
      </c>
      <c r="D54" s="161">
        <f t="shared" si="0"/>
        <v>417.70000000000005</v>
      </c>
    </row>
    <row r="55" spans="1:4" ht="46.8" x14ac:dyDescent="0.3">
      <c r="A55" s="162" t="s">
        <v>50</v>
      </c>
      <c r="B55" s="160">
        <v>14</v>
      </c>
      <c r="C55" s="166">
        <v>389830</v>
      </c>
      <c r="D55" s="161">
        <f t="shared" si="0"/>
        <v>389.90000000000003</v>
      </c>
    </row>
    <row r="56" spans="1:4" ht="46.8" x14ac:dyDescent="0.3">
      <c r="A56" s="162" t="s">
        <v>59</v>
      </c>
      <c r="B56" s="160">
        <v>11</v>
      </c>
      <c r="C56" s="166">
        <v>306295</v>
      </c>
      <c r="D56" s="161">
        <f t="shared" si="0"/>
        <v>306.3</v>
      </c>
    </row>
    <row r="57" spans="1:4" ht="31.2" x14ac:dyDescent="0.3">
      <c r="A57" s="162" t="s">
        <v>51</v>
      </c>
      <c r="B57" s="160">
        <v>16</v>
      </c>
      <c r="C57" s="166">
        <v>445520</v>
      </c>
      <c r="D57" s="161">
        <f t="shared" si="0"/>
        <v>445.6</v>
      </c>
    </row>
    <row r="58" spans="1:4" ht="31.2" x14ac:dyDescent="0.3">
      <c r="A58" s="162" t="s">
        <v>62</v>
      </c>
      <c r="B58" s="160">
        <v>6</v>
      </c>
      <c r="C58" s="166">
        <v>167070</v>
      </c>
      <c r="D58" s="161">
        <f t="shared" si="0"/>
        <v>167.1</v>
      </c>
    </row>
    <row r="59" spans="1:4" ht="35.25" customHeight="1" x14ac:dyDescent="0.3">
      <c r="A59" s="162" t="s">
        <v>144</v>
      </c>
      <c r="B59" s="160">
        <v>10</v>
      </c>
      <c r="C59" s="166">
        <v>278450</v>
      </c>
      <c r="D59" s="161">
        <f t="shared" si="0"/>
        <v>278.5</v>
      </c>
    </row>
    <row r="60" spans="1:4" ht="31.2" x14ac:dyDescent="0.3">
      <c r="A60" s="162" t="s">
        <v>55</v>
      </c>
      <c r="B60" s="160">
        <v>6</v>
      </c>
      <c r="C60" s="166">
        <v>167070</v>
      </c>
      <c r="D60" s="161">
        <f t="shared" si="0"/>
        <v>167.1</v>
      </c>
    </row>
    <row r="61" spans="1:4" ht="31.2" x14ac:dyDescent="0.3">
      <c r="A61" s="162" t="s">
        <v>61</v>
      </c>
      <c r="B61" s="160">
        <v>6</v>
      </c>
      <c r="C61" s="166">
        <v>167070</v>
      </c>
      <c r="D61" s="161">
        <f t="shared" si="0"/>
        <v>167.1</v>
      </c>
    </row>
    <row r="62" spans="1:4" ht="31.2" x14ac:dyDescent="0.3">
      <c r="A62" s="162" t="s">
        <v>95</v>
      </c>
      <c r="B62" s="160">
        <v>10</v>
      </c>
      <c r="C62" s="166">
        <v>278450</v>
      </c>
      <c r="D62" s="161">
        <f t="shared" si="0"/>
        <v>278.5</v>
      </c>
    </row>
    <row r="63" spans="1:4" ht="31.2" x14ac:dyDescent="0.3">
      <c r="A63" s="162" t="s">
        <v>52</v>
      </c>
      <c r="B63" s="160">
        <v>12</v>
      </c>
      <c r="C63" s="166">
        <v>334140</v>
      </c>
      <c r="D63" s="161">
        <f t="shared" si="0"/>
        <v>334.20000000000005</v>
      </c>
    </row>
    <row r="64" spans="1:4" ht="31.2" x14ac:dyDescent="0.3">
      <c r="A64" s="162" t="s">
        <v>57</v>
      </c>
      <c r="B64" s="160">
        <v>15</v>
      </c>
      <c r="C64" s="166">
        <v>417675</v>
      </c>
      <c r="D64" s="161">
        <f t="shared" si="0"/>
        <v>417.70000000000005</v>
      </c>
    </row>
    <row r="65" spans="1:4" ht="31.2" x14ac:dyDescent="0.3">
      <c r="A65" s="162" t="s">
        <v>56</v>
      </c>
      <c r="B65" s="160">
        <v>2</v>
      </c>
      <c r="C65" s="166">
        <v>55690</v>
      </c>
      <c r="D65" s="161">
        <f t="shared" si="0"/>
        <v>55.7</v>
      </c>
    </row>
    <row r="66" spans="1:4" ht="46.8" x14ac:dyDescent="0.3">
      <c r="A66" s="162" t="s">
        <v>53</v>
      </c>
      <c r="B66" s="160">
        <v>8</v>
      </c>
      <c r="C66" s="166">
        <v>222760</v>
      </c>
      <c r="D66" s="161">
        <f t="shared" si="0"/>
        <v>222.79999999999998</v>
      </c>
    </row>
    <row r="67" spans="1:4" ht="31.2" x14ac:dyDescent="0.3">
      <c r="A67" s="162" t="s">
        <v>58</v>
      </c>
      <c r="B67" s="160">
        <v>6</v>
      </c>
      <c r="C67" s="166">
        <v>167070</v>
      </c>
      <c r="D67" s="161">
        <f t="shared" si="0"/>
        <v>167.1</v>
      </c>
    </row>
    <row r="68" spans="1:4" ht="31.2" x14ac:dyDescent="0.3">
      <c r="A68" s="162" t="s">
        <v>54</v>
      </c>
      <c r="B68" s="160">
        <v>13</v>
      </c>
      <c r="C68" s="166">
        <v>361985</v>
      </c>
      <c r="D68" s="161">
        <f>ROUNDUP(C68/1000,1)</f>
        <v>362</v>
      </c>
    </row>
    <row r="69" spans="1:4" ht="31.2" x14ac:dyDescent="0.3">
      <c r="A69" s="162" t="s">
        <v>107</v>
      </c>
      <c r="B69" s="160">
        <v>5</v>
      </c>
      <c r="C69" s="166">
        <v>139225</v>
      </c>
      <c r="D69" s="161">
        <f>ROUNDUP(C69/1000,1)</f>
        <v>139.29999999999998</v>
      </c>
    </row>
    <row r="70" spans="1:4" x14ac:dyDescent="0.3">
      <c r="A70" s="164"/>
      <c r="B70" s="161">
        <f>SUM(B3:B69)</f>
        <v>692</v>
      </c>
      <c r="C70" s="166">
        <f>SUM(C3:C69)</f>
        <v>19268740</v>
      </c>
      <c r="D70" s="161">
        <f>ROUNDUP(C70/1000,1)</f>
        <v>19268.8</v>
      </c>
    </row>
  </sheetData>
  <pageMargins left="0.11811023622047245" right="0.11811023622047245" top="0.15748031496062992" bottom="0.15748031496062992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Школы</vt:lpstr>
      <vt:lpstr>санкур и проезд к распоряж факт</vt:lpstr>
      <vt:lpstr>санкур и  проезд на 2019 увелич</vt:lpstr>
      <vt:lpstr>санкур  проезд на 2019 по заявк</vt:lpstr>
      <vt:lpstr>проезд Лизе к бюджету 2018</vt:lpstr>
      <vt:lpstr>соц под на 2018</vt:lpstr>
      <vt:lpstr>ПЕРЕД отдых-проезд  апр18 РИТА </vt:lpstr>
      <vt:lpstr>ПЕРЕД отдых-проезд  апр18 СВЕТА</vt:lpstr>
      <vt:lpstr>Для ОО</vt:lpstr>
      <vt:lpstr>Для отд спорта</vt:lpstr>
      <vt:lpstr>ПЕРЕДИЖКА  9 мес  </vt:lpstr>
      <vt:lpstr>для МН для таблицы</vt:lpstr>
      <vt:lpstr>экономия 2018</vt:lpstr>
      <vt:lpstr>для передвижки 5 млн</vt:lpstr>
      <vt:lpstr>экономия 2018 (2)</vt:lpstr>
      <vt:lpstr>список от расчетнгого 07,09,18</vt:lpstr>
      <vt:lpstr>'для передвижки 5 млн'!Область_печати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Ольга</cp:lastModifiedBy>
  <cp:lastPrinted>2019-04-25T06:24:29Z</cp:lastPrinted>
  <dcterms:created xsi:type="dcterms:W3CDTF">2018-02-16T07:31:37Z</dcterms:created>
  <dcterms:modified xsi:type="dcterms:W3CDTF">2020-05-14T14:28:10Z</dcterms:modified>
</cp:coreProperties>
</file>