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 activeTab="1"/>
  </bookViews>
  <sheets>
    <sheet name="07.07.2023" sheetId="4" r:id="rId1"/>
    <sheet name="10.07.2023" sheetId="6" r:id="rId2"/>
  </sheets>
  <definedNames>
    <definedName name="_xlnm._FilterDatabase" localSheetId="0" hidden="1">'07.07.2023'!$A$1:$BO$67</definedName>
    <definedName name="_xlnm._FilterDatabase" localSheetId="1" hidden="1">'10.07.2023'!$A$1:$BO$67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6" l="1"/>
  <c r="E60" i="6"/>
  <c r="C59" i="6"/>
  <c r="E25" i="6" l="1"/>
  <c r="E51" i="6" l="1"/>
  <c r="E21" i="6"/>
  <c r="E49" i="6"/>
  <c r="E26" i="6"/>
  <c r="D40" i="6"/>
  <c r="E36" i="6"/>
  <c r="E3" i="6"/>
  <c r="E31" i="6"/>
  <c r="E45" i="6"/>
  <c r="C45" i="6"/>
  <c r="E40" i="6"/>
  <c r="E50" i="6" l="1"/>
  <c r="K50" i="6" s="1"/>
  <c r="E43" i="6"/>
  <c r="E6" i="6"/>
  <c r="F66" i="6"/>
  <c r="K65" i="6"/>
  <c r="C65" i="6"/>
  <c r="J65" i="6" s="1"/>
  <c r="K64" i="6"/>
  <c r="C64" i="6"/>
  <c r="J64" i="6" s="1"/>
  <c r="K63" i="6"/>
  <c r="J63" i="6"/>
  <c r="G63" i="6"/>
  <c r="K62" i="6"/>
  <c r="J62" i="6"/>
  <c r="G62" i="6"/>
  <c r="K61" i="6"/>
  <c r="J61" i="6"/>
  <c r="C61" i="6"/>
  <c r="G61" i="6" s="1"/>
  <c r="K60" i="6"/>
  <c r="C60" i="6"/>
  <c r="G60" i="6" s="1"/>
  <c r="E59" i="6"/>
  <c r="K59" i="6" s="1"/>
  <c r="J59" i="6"/>
  <c r="G58" i="6"/>
  <c r="E58" i="6"/>
  <c r="D58" i="6"/>
  <c r="K58" i="6" s="1"/>
  <c r="C58" i="6"/>
  <c r="J58" i="6" s="1"/>
  <c r="K57" i="6"/>
  <c r="J57" i="6"/>
  <c r="C57" i="6"/>
  <c r="G57" i="6" s="1"/>
  <c r="K56" i="6"/>
  <c r="J56" i="6"/>
  <c r="C56" i="6"/>
  <c r="G56" i="6" s="1"/>
  <c r="K55" i="6"/>
  <c r="J55" i="6"/>
  <c r="G55" i="6"/>
  <c r="K54" i="6"/>
  <c r="J54" i="6"/>
  <c r="G54" i="6"/>
  <c r="E54" i="6"/>
  <c r="C54" i="6"/>
  <c r="K53" i="6"/>
  <c r="J53" i="6"/>
  <c r="G53" i="6"/>
  <c r="K52" i="6"/>
  <c r="J52" i="6"/>
  <c r="G52" i="6"/>
  <c r="E52" i="6"/>
  <c r="C52" i="6"/>
  <c r="K51" i="6"/>
  <c r="J51" i="6"/>
  <c r="G51" i="6"/>
  <c r="J50" i="6"/>
  <c r="G50" i="6"/>
  <c r="C50" i="6"/>
  <c r="K49" i="6"/>
  <c r="C49" i="6"/>
  <c r="G49" i="6" s="1"/>
  <c r="E48" i="6"/>
  <c r="K48" i="6" s="1"/>
  <c r="C48" i="6"/>
  <c r="J48" i="6" s="1"/>
  <c r="G47" i="6"/>
  <c r="E47" i="6"/>
  <c r="K47" i="6" s="1"/>
  <c r="C47" i="6"/>
  <c r="J47" i="6" s="1"/>
  <c r="K46" i="6"/>
  <c r="J46" i="6"/>
  <c r="G46" i="6"/>
  <c r="K45" i="6"/>
  <c r="G45" i="6"/>
  <c r="J45" i="6"/>
  <c r="K44" i="6"/>
  <c r="G44" i="6"/>
  <c r="C44" i="6"/>
  <c r="J44" i="6" s="1"/>
  <c r="K43" i="6"/>
  <c r="G43" i="6"/>
  <c r="C43" i="6"/>
  <c r="J43" i="6" s="1"/>
  <c r="K42" i="6"/>
  <c r="G42" i="6"/>
  <c r="C42" i="6"/>
  <c r="J42" i="6" s="1"/>
  <c r="K41" i="6"/>
  <c r="G41" i="6"/>
  <c r="C41" i="6"/>
  <c r="J41" i="6" s="1"/>
  <c r="G40" i="6"/>
  <c r="K40" i="6"/>
  <c r="C40" i="6"/>
  <c r="J40" i="6" s="1"/>
  <c r="K39" i="6"/>
  <c r="J39" i="6"/>
  <c r="G39" i="6"/>
  <c r="C39" i="6"/>
  <c r="J38" i="6"/>
  <c r="G38" i="6"/>
  <c r="E38" i="6"/>
  <c r="K38" i="6" s="1"/>
  <c r="C38" i="6"/>
  <c r="K37" i="6"/>
  <c r="E37" i="6"/>
  <c r="C37" i="6"/>
  <c r="G37" i="6" s="1"/>
  <c r="K36" i="6"/>
  <c r="C36" i="6"/>
  <c r="J36" i="6" s="1"/>
  <c r="G35" i="6"/>
  <c r="E35" i="6"/>
  <c r="K35" i="6" s="1"/>
  <c r="C35" i="6"/>
  <c r="J35" i="6" s="1"/>
  <c r="J34" i="6"/>
  <c r="G34" i="6"/>
  <c r="E34" i="6"/>
  <c r="K34" i="6" s="1"/>
  <c r="C34" i="6"/>
  <c r="N33" i="6"/>
  <c r="E33" i="6"/>
  <c r="K33" i="6" s="1"/>
  <c r="C33" i="6"/>
  <c r="J33" i="6" s="1"/>
  <c r="K32" i="6"/>
  <c r="J32" i="6"/>
  <c r="G32" i="6"/>
  <c r="K31" i="6"/>
  <c r="C31" i="6"/>
  <c r="J31" i="6" s="1"/>
  <c r="K30" i="6"/>
  <c r="G30" i="6"/>
  <c r="C30" i="6"/>
  <c r="J30" i="6" s="1"/>
  <c r="K29" i="6"/>
  <c r="J29" i="6"/>
  <c r="G29" i="6"/>
  <c r="C29" i="6"/>
  <c r="N28" i="6"/>
  <c r="N29" i="6" s="1"/>
  <c r="K28" i="6"/>
  <c r="J28" i="6"/>
  <c r="G28" i="6"/>
  <c r="C28" i="6"/>
  <c r="K27" i="6"/>
  <c r="J27" i="6"/>
  <c r="G27" i="6"/>
  <c r="C27" i="6"/>
  <c r="K26" i="6"/>
  <c r="C26" i="6"/>
  <c r="G26" i="6" s="1"/>
  <c r="K25" i="6"/>
  <c r="C25" i="6"/>
  <c r="J25" i="6" s="1"/>
  <c r="E24" i="6"/>
  <c r="K24" i="6" s="1"/>
  <c r="C24" i="6"/>
  <c r="J24" i="6" s="1"/>
  <c r="G23" i="6"/>
  <c r="E23" i="6"/>
  <c r="K23" i="6" s="1"/>
  <c r="C23" i="6"/>
  <c r="J23" i="6" s="1"/>
  <c r="J22" i="6"/>
  <c r="G22" i="6"/>
  <c r="E22" i="6"/>
  <c r="K22" i="6" s="1"/>
  <c r="C22" i="6"/>
  <c r="K21" i="6"/>
  <c r="C21" i="6"/>
  <c r="G21" i="6" s="1"/>
  <c r="E20" i="6"/>
  <c r="K20" i="6" s="1"/>
  <c r="B20" i="6"/>
  <c r="J20" i="6" s="1"/>
  <c r="G19" i="6"/>
  <c r="E19" i="6"/>
  <c r="K19" i="6" s="1"/>
  <c r="C19" i="6"/>
  <c r="J19" i="6" s="1"/>
  <c r="E18" i="6"/>
  <c r="D18" i="6"/>
  <c r="K18" i="6" s="1"/>
  <c r="C18" i="6"/>
  <c r="J18" i="6" s="1"/>
  <c r="B18" i="6"/>
  <c r="G18" i="6" s="1"/>
  <c r="G17" i="6"/>
  <c r="E17" i="6"/>
  <c r="K17" i="6" s="1"/>
  <c r="C17" i="6"/>
  <c r="J17" i="6" s="1"/>
  <c r="D16" i="6"/>
  <c r="D66" i="6" s="1"/>
  <c r="C16" i="6"/>
  <c r="B16" i="6"/>
  <c r="J16" i="6" s="1"/>
  <c r="K15" i="6"/>
  <c r="J15" i="6"/>
  <c r="G15" i="6"/>
  <c r="K14" i="6"/>
  <c r="J14" i="6"/>
  <c r="G14" i="6"/>
  <c r="K13" i="6"/>
  <c r="J13" i="6"/>
  <c r="G13" i="6"/>
  <c r="C13" i="6"/>
  <c r="J12" i="6"/>
  <c r="G12" i="6"/>
  <c r="E12" i="6"/>
  <c r="K12" i="6" s="1"/>
  <c r="C12" i="6"/>
  <c r="K11" i="6"/>
  <c r="J11" i="6"/>
  <c r="G11" i="6"/>
  <c r="K10" i="6"/>
  <c r="J10" i="6"/>
  <c r="G10" i="6"/>
  <c r="G9" i="6"/>
  <c r="E9" i="6"/>
  <c r="K9" i="6" s="1"/>
  <c r="C9" i="6"/>
  <c r="J9" i="6" s="1"/>
  <c r="J8" i="6"/>
  <c r="G8" i="6"/>
  <c r="E8" i="6"/>
  <c r="K8" i="6" s="1"/>
  <c r="K7" i="6"/>
  <c r="J7" i="6"/>
  <c r="G7" i="6"/>
  <c r="K6" i="6"/>
  <c r="G6" i="6"/>
  <c r="C6" i="6"/>
  <c r="J6" i="6" s="1"/>
  <c r="K5" i="6"/>
  <c r="G5" i="6"/>
  <c r="C5" i="6"/>
  <c r="J5" i="6" s="1"/>
  <c r="K4" i="6"/>
  <c r="J4" i="6"/>
  <c r="G4" i="6"/>
  <c r="K3" i="6"/>
  <c r="C3" i="6"/>
  <c r="J3" i="6" s="1"/>
  <c r="E2" i="6"/>
  <c r="C2" i="6"/>
  <c r="J2" i="6" s="1"/>
  <c r="E66" i="6" l="1"/>
  <c r="E67" i="6" s="1"/>
  <c r="K2" i="6"/>
  <c r="G16" i="6"/>
  <c r="J21" i="6"/>
  <c r="J26" i="6"/>
  <c r="J37" i="6"/>
  <c r="J49" i="6"/>
  <c r="J60" i="6"/>
  <c r="B66" i="6"/>
  <c r="G64" i="6"/>
  <c r="G65" i="6"/>
  <c r="C66" i="6"/>
  <c r="G2" i="6"/>
  <c r="G3" i="6"/>
  <c r="K16" i="6"/>
  <c r="G20" i="6"/>
  <c r="G24" i="6"/>
  <c r="G25" i="6"/>
  <c r="G31" i="6"/>
  <c r="G33" i="6"/>
  <c r="G36" i="6"/>
  <c r="G48" i="6"/>
  <c r="G59" i="6"/>
  <c r="E59" i="4"/>
  <c r="E12" i="4"/>
  <c r="C65" i="4"/>
  <c r="E54" i="4"/>
  <c r="E35" i="4"/>
  <c r="C35" i="4"/>
  <c r="C57" i="4"/>
  <c r="C13" i="4"/>
  <c r="E24" i="4"/>
  <c r="E47" i="4"/>
  <c r="C29" i="4"/>
  <c r="E23" i="4"/>
  <c r="E9" i="4"/>
  <c r="C67" i="6" l="1"/>
  <c r="G66" i="6"/>
  <c r="E50" i="4"/>
  <c r="E38" i="4"/>
  <c r="E52" i="4"/>
  <c r="E33" i="4"/>
  <c r="C44" i="4"/>
  <c r="E22" i="4"/>
  <c r="G10" i="4"/>
  <c r="E58" i="4"/>
  <c r="C34" i="4"/>
  <c r="C56" i="4"/>
  <c r="C5" i="4"/>
  <c r="C12" i="4"/>
  <c r="C64" i="4"/>
  <c r="C59" i="4"/>
  <c r="C54" i="4"/>
  <c r="C58" i="4"/>
  <c r="C60" i="4"/>
  <c r="C24" i="4"/>
  <c r="E48" i="4"/>
  <c r="E20" i="4"/>
  <c r="E19" i="4"/>
  <c r="C26" i="4"/>
  <c r="C3" i="4"/>
  <c r="C38" i="4"/>
  <c r="C27" i="4"/>
  <c r="C43" i="4" l="1"/>
  <c r="F66" i="4"/>
  <c r="K65" i="4"/>
  <c r="J65" i="4"/>
  <c r="G65" i="4"/>
  <c r="K64" i="4"/>
  <c r="J64" i="4"/>
  <c r="G64" i="4"/>
  <c r="K63" i="4"/>
  <c r="J63" i="4"/>
  <c r="G63" i="4"/>
  <c r="K62" i="4"/>
  <c r="J62" i="4"/>
  <c r="G62" i="4"/>
  <c r="K61" i="4"/>
  <c r="C61" i="4"/>
  <c r="J61" i="4" s="1"/>
  <c r="K60" i="4"/>
  <c r="J60" i="4"/>
  <c r="E60" i="4"/>
  <c r="G60" i="4" s="1"/>
  <c r="K59" i="4"/>
  <c r="J59" i="4"/>
  <c r="J58" i="4"/>
  <c r="D58" i="4"/>
  <c r="K58" i="4" s="1"/>
  <c r="K57" i="4"/>
  <c r="J57" i="4"/>
  <c r="G57" i="4"/>
  <c r="K56" i="4"/>
  <c r="J56" i="4"/>
  <c r="G56" i="4"/>
  <c r="K55" i="4"/>
  <c r="J55" i="4"/>
  <c r="G55" i="4"/>
  <c r="K54" i="4"/>
  <c r="J54" i="4"/>
  <c r="G54" i="4"/>
  <c r="K53" i="4"/>
  <c r="J53" i="4"/>
  <c r="G53" i="4"/>
  <c r="K52" i="4"/>
  <c r="C52" i="4"/>
  <c r="J52" i="4" s="1"/>
  <c r="K51" i="4"/>
  <c r="J51" i="4"/>
  <c r="G51" i="4"/>
  <c r="K50" i="4"/>
  <c r="J50" i="4"/>
  <c r="C50" i="4"/>
  <c r="G50" i="4" s="1"/>
  <c r="K49" i="4"/>
  <c r="E49" i="4"/>
  <c r="C49" i="4"/>
  <c r="J49" i="4" s="1"/>
  <c r="K48" i="4"/>
  <c r="C48" i="4"/>
  <c r="G48" i="4" s="1"/>
  <c r="K47" i="4"/>
  <c r="C47" i="4"/>
  <c r="J47" i="4" s="1"/>
  <c r="K46" i="4"/>
  <c r="J46" i="4"/>
  <c r="G46" i="4"/>
  <c r="K45" i="4"/>
  <c r="C45" i="4"/>
  <c r="J45" i="4" s="1"/>
  <c r="K44" i="4"/>
  <c r="J44" i="4"/>
  <c r="G44" i="4"/>
  <c r="K43" i="4"/>
  <c r="J43" i="4"/>
  <c r="G43" i="4"/>
  <c r="K42" i="4"/>
  <c r="J42" i="4"/>
  <c r="G42" i="4"/>
  <c r="C42" i="4"/>
  <c r="K41" i="4"/>
  <c r="J41" i="4"/>
  <c r="G41" i="4"/>
  <c r="C41" i="4"/>
  <c r="J40" i="4"/>
  <c r="G40" i="4"/>
  <c r="E40" i="4"/>
  <c r="K40" i="4" s="1"/>
  <c r="C40" i="4"/>
  <c r="K39" i="4"/>
  <c r="J39" i="4"/>
  <c r="C39" i="4"/>
  <c r="G39" i="4" s="1"/>
  <c r="K38" i="4"/>
  <c r="J38" i="4"/>
  <c r="G38" i="4"/>
  <c r="J37" i="4"/>
  <c r="G37" i="4"/>
  <c r="E37" i="4"/>
  <c r="K37" i="4" s="1"/>
  <c r="C37" i="4"/>
  <c r="K36" i="4"/>
  <c r="J36" i="4"/>
  <c r="E36" i="4"/>
  <c r="C36" i="4"/>
  <c r="G36" i="4" s="1"/>
  <c r="K35" i="4"/>
  <c r="J35" i="4"/>
  <c r="G35" i="4"/>
  <c r="K34" i="4"/>
  <c r="J34" i="4"/>
  <c r="E34" i="4"/>
  <c r="G34" i="4"/>
  <c r="N33" i="4"/>
  <c r="K33" i="4"/>
  <c r="C33" i="4"/>
  <c r="J33" i="4" s="1"/>
  <c r="K32" i="4"/>
  <c r="J32" i="4"/>
  <c r="G32" i="4"/>
  <c r="K31" i="4"/>
  <c r="E31" i="4"/>
  <c r="C31" i="4"/>
  <c r="J31" i="4" s="1"/>
  <c r="K30" i="4"/>
  <c r="C30" i="4"/>
  <c r="G30" i="4" s="1"/>
  <c r="K29" i="4"/>
  <c r="J29" i="4"/>
  <c r="G29" i="4"/>
  <c r="N28" i="4"/>
  <c r="N29" i="4" s="1"/>
  <c r="K28" i="4"/>
  <c r="J28" i="4"/>
  <c r="G28" i="4"/>
  <c r="C28" i="4"/>
  <c r="K27" i="4"/>
  <c r="J27" i="4"/>
  <c r="G27" i="4"/>
  <c r="E26" i="4"/>
  <c r="K26" i="4" s="1"/>
  <c r="J26" i="4"/>
  <c r="K25" i="4"/>
  <c r="J25" i="4"/>
  <c r="G25" i="4"/>
  <c r="C25" i="4"/>
  <c r="K24" i="4"/>
  <c r="J24" i="4"/>
  <c r="G24" i="4"/>
  <c r="K23" i="4"/>
  <c r="C23" i="4"/>
  <c r="J23" i="4" s="1"/>
  <c r="K22" i="4"/>
  <c r="C22" i="4"/>
  <c r="G22" i="4" s="1"/>
  <c r="E21" i="4"/>
  <c r="K21" i="4" s="1"/>
  <c r="C21" i="4"/>
  <c r="J21" i="4" s="1"/>
  <c r="J20" i="4"/>
  <c r="G20" i="4"/>
  <c r="K20" i="4"/>
  <c r="B20" i="4"/>
  <c r="K19" i="4"/>
  <c r="J19" i="4"/>
  <c r="G19" i="4"/>
  <c r="C19" i="4"/>
  <c r="E18" i="4"/>
  <c r="D18" i="4"/>
  <c r="K18" i="4" s="1"/>
  <c r="C18" i="4"/>
  <c r="J18" i="4" s="1"/>
  <c r="B18" i="4"/>
  <c r="G18" i="4" s="1"/>
  <c r="J17" i="4"/>
  <c r="G17" i="4"/>
  <c r="E17" i="4"/>
  <c r="K17" i="4" s="1"/>
  <c r="C17" i="4"/>
  <c r="K16" i="4"/>
  <c r="D16" i="4"/>
  <c r="D66" i="4" s="1"/>
  <c r="C16" i="4"/>
  <c r="B16" i="4"/>
  <c r="G16" i="4" s="1"/>
  <c r="K15" i="4"/>
  <c r="J15" i="4"/>
  <c r="G15" i="4"/>
  <c r="K14" i="4"/>
  <c r="J14" i="4"/>
  <c r="G14" i="4"/>
  <c r="K13" i="4"/>
  <c r="J13" i="4"/>
  <c r="G13" i="4"/>
  <c r="K12" i="4"/>
  <c r="J12" i="4"/>
  <c r="G12" i="4"/>
  <c r="K11" i="4"/>
  <c r="J11" i="4"/>
  <c r="G11" i="4"/>
  <c r="K10" i="4"/>
  <c r="J10" i="4"/>
  <c r="K9" i="4"/>
  <c r="J9" i="4"/>
  <c r="C9" i="4"/>
  <c r="G9" i="4" s="1"/>
  <c r="K8" i="4"/>
  <c r="J8" i="4"/>
  <c r="E8" i="4"/>
  <c r="G8" i="4" s="1"/>
  <c r="K7" i="4"/>
  <c r="J7" i="4"/>
  <c r="G7" i="4"/>
  <c r="K6" i="4"/>
  <c r="J6" i="4"/>
  <c r="C6" i="4"/>
  <c r="G6" i="4" s="1"/>
  <c r="K5" i="4"/>
  <c r="J5" i="4"/>
  <c r="G5" i="4"/>
  <c r="K4" i="4"/>
  <c r="J4" i="4"/>
  <c r="G4" i="4"/>
  <c r="K3" i="4"/>
  <c r="J3" i="4"/>
  <c r="G3" i="4"/>
  <c r="K2" i="4"/>
  <c r="E2" i="4"/>
  <c r="E66" i="4" s="1"/>
  <c r="C2" i="4"/>
  <c r="J2" i="4" s="1"/>
  <c r="E67" i="4" l="1"/>
  <c r="G21" i="4"/>
  <c r="G23" i="4"/>
  <c r="G33" i="4"/>
  <c r="G47" i="4"/>
  <c r="G58" i="4"/>
  <c r="G2" i="4"/>
  <c r="J22" i="4"/>
  <c r="J30" i="4"/>
  <c r="G31" i="4"/>
  <c r="G45" i="4"/>
  <c r="J48" i="4"/>
  <c r="G49" i="4"/>
  <c r="G52" i="4"/>
  <c r="G59" i="4"/>
  <c r="G61" i="4"/>
  <c r="C66" i="4"/>
  <c r="J16" i="4"/>
  <c r="G26" i="4"/>
  <c r="B66" i="4"/>
  <c r="C67" i="4" l="1"/>
  <c r="G66" i="4"/>
</calcChain>
</file>

<file path=xl/sharedStrings.xml><?xml version="1.0" encoding="utf-8"?>
<sst xmlns="http://schemas.openxmlformats.org/spreadsheetml/2006/main" count="261" uniqueCount="142">
  <si>
    <t>ГБОУ № 13</t>
  </si>
  <si>
    <t>ГБОУ № 14</t>
  </si>
  <si>
    <t>ГБОУ № 17</t>
  </si>
  <si>
    <t>ГБОУ № 18</t>
  </si>
  <si>
    <t>ГБОУ № 20</t>
  </si>
  <si>
    <t>ГБОУ № 22</t>
  </si>
  <si>
    <t>ГБОУ № 23</t>
  </si>
  <si>
    <t>ГБОУ № 26</t>
  </si>
  <si>
    <t>ГБОУ № 31</t>
  </si>
  <si>
    <t>ГБОУ № 34</t>
  </si>
  <si>
    <t>ГБОУ № 39</t>
  </si>
  <si>
    <t>ГБОУ № 268</t>
  </si>
  <si>
    <t>ГБОУ № 323</t>
  </si>
  <si>
    <t>ГБОУ № 326</t>
  </si>
  <si>
    <t>ГБОУ № 327</t>
  </si>
  <si>
    <t>ГБОУ № 328</t>
  </si>
  <si>
    <t>ГБОУ № 329</t>
  </si>
  <si>
    <t>ГБОУ № 330</t>
  </si>
  <si>
    <t>ГБОУ № 331</t>
  </si>
  <si>
    <t>ГБОУ № 332</t>
  </si>
  <si>
    <t>ГБОУ № 333</t>
  </si>
  <si>
    <t>ГБОУ № 334</t>
  </si>
  <si>
    <t>ГБОУ № 336</t>
  </si>
  <si>
    <t>ГБОУ № 337</t>
  </si>
  <si>
    <t>ГБОУ № 338</t>
  </si>
  <si>
    <t>ГБОУ № 339</t>
  </si>
  <si>
    <t>ГБОУ № 340</t>
  </si>
  <si>
    <t>ГБОУ № 341</t>
  </si>
  <si>
    <t>ГБОУ № 342</t>
  </si>
  <si>
    <t>ГБОУ № 343</t>
  </si>
  <si>
    <t>ГБОУ № 344</t>
  </si>
  <si>
    <t>ГБОУ № 345</t>
  </si>
  <si>
    <t>ГБОУ № 346</t>
  </si>
  <si>
    <t>ГБОУ № 347</t>
  </si>
  <si>
    <t>ГБОУ № 348</t>
  </si>
  <si>
    <t>ГБОУ № 350</t>
  </si>
  <si>
    <t>ГБОУ № 458</t>
  </si>
  <si>
    <t>ГБОУ № 497</t>
  </si>
  <si>
    <t>ГБОУ № 498</t>
  </si>
  <si>
    <t>ГБОУ № 512</t>
  </si>
  <si>
    <t>ГБОУ № 513</t>
  </si>
  <si>
    <t>ГБОУ № 516</t>
  </si>
  <si>
    <t>ГБОУ № 527</t>
  </si>
  <si>
    <t>ГБОУ № 528</t>
  </si>
  <si>
    <t>ГБОУ № 557</t>
  </si>
  <si>
    <t>ГБОУ № 569</t>
  </si>
  <si>
    <t>ГБОУ № 570</t>
  </si>
  <si>
    <t>ГБОУ № 571</t>
  </si>
  <si>
    <t>ГБОУ № 572</t>
  </si>
  <si>
    <t>ГБОУ № 574</t>
  </si>
  <si>
    <t>ГБОУ № 591</t>
  </si>
  <si>
    <t>ГБОУ № 593</t>
  </si>
  <si>
    <t>ГБОУ № 625</t>
  </si>
  <si>
    <t>ГБОУ № 627</t>
  </si>
  <si>
    <t>ГБОУ № 639</t>
  </si>
  <si>
    <t>ГБОУ № 641</t>
  </si>
  <si>
    <t>ГБОУ № 667</t>
  </si>
  <si>
    <t>ГБОУ № 690</t>
  </si>
  <si>
    <t>ГБОУ № 691</t>
  </si>
  <si>
    <t>ГБОУ № 693</t>
  </si>
  <si>
    <t>ГБОУ № 707</t>
  </si>
  <si>
    <t>АН (626)</t>
  </si>
  <si>
    <t>Праздник (901)</t>
  </si>
  <si>
    <t>Шанс (628)</t>
  </si>
  <si>
    <t>ОУ</t>
  </si>
  <si>
    <t>Количество аттестатов 9 по РИС ГИА</t>
  </si>
  <si>
    <t>Количество аттестатов 11 по РИС ГИА</t>
  </si>
  <si>
    <t>Загружено 9 в ФИС ФРДО</t>
  </si>
  <si>
    <t>Загружено 11 в ФИС ФРДО</t>
  </si>
  <si>
    <t>Свидетельства об обучениии в ФИС ФРДО</t>
  </si>
  <si>
    <t>Разница</t>
  </si>
  <si>
    <t>Примечание</t>
  </si>
  <si>
    <t>опубликовано в СОШ 707</t>
  </si>
  <si>
    <t>9кл</t>
  </si>
  <si>
    <t>11кл</t>
  </si>
  <si>
    <t xml:space="preserve">9кл </t>
  </si>
  <si>
    <t>11 кл</t>
  </si>
  <si>
    <t>экс</t>
  </si>
  <si>
    <t>очн</t>
  </si>
  <si>
    <t>ик7</t>
  </si>
  <si>
    <t>дубл впл</t>
  </si>
  <si>
    <t>9 кл ждем</t>
  </si>
  <si>
    <t>11 кл ждем</t>
  </si>
  <si>
    <t>не сдали</t>
  </si>
  <si>
    <t>9 кл: 7 -будут пересдавать в сентябре 11 кл: 5 - сдавали математику 26 июня</t>
  </si>
  <si>
    <t>9 кл: 1- справка</t>
  </si>
  <si>
    <t>9 кл: 5 - на осень</t>
  </si>
  <si>
    <t>9 кл: 1- справка 11 кл: 3-справки</t>
  </si>
  <si>
    <t>9 кл: 1- справка 11 кл: 1-справка</t>
  </si>
  <si>
    <t>11 кл: 4 справки</t>
  </si>
  <si>
    <t>9 кл: 6- справок 11 кл: 4-справки</t>
  </si>
  <si>
    <t>9 кл: 5- на осень 11 кл: 9- ждем мат-ку и рус</t>
  </si>
  <si>
    <t>9 кл: 9- справка 11 кл: 2-справка</t>
  </si>
  <si>
    <t>справки</t>
  </si>
  <si>
    <t>9кл: 1 - на сентябрь 11 кл: 3 ждем мат-ку</t>
  </si>
  <si>
    <t>9кл: 4 человека на осень. 11 кл: 2 ждём</t>
  </si>
  <si>
    <t>9 кл: 1 на осень 11 кл: 1 справка</t>
  </si>
  <si>
    <t xml:space="preserve">   4 незагруженным аттестатам  11 классов -ждём результатов экзаменов 3 незагруженных аттестата 9 классов - это пересдача на осень</t>
  </si>
  <si>
    <t xml:space="preserve"> 11 кл: 1 справка</t>
  </si>
  <si>
    <t>9: 1-на осень, 1-в армии, 11: 1-на осень</t>
  </si>
  <si>
    <t>9кл -2 ещё нет результатов экзам</t>
  </si>
  <si>
    <t xml:space="preserve">9 кл: 2 справки </t>
  </si>
  <si>
    <t>9кл: 6 - справок 11 кл: 2 - справки</t>
  </si>
  <si>
    <t>опубликовано в СОШ 707 9 кл: 7 справок  11 кл: 6 справок</t>
  </si>
  <si>
    <t xml:space="preserve">опубликовано в СОШ 707,  9кл ; 5 справок </t>
  </si>
  <si>
    <t>9 кл: 5- справок 11 кл: 3- справки Ждем, ошибки заполнения</t>
  </si>
  <si>
    <r>
      <t xml:space="preserve">9-классников 12 обучающихся остались на осень., 11 кл. дата выдачи </t>
    </r>
    <r>
      <rPr>
        <b/>
        <sz val="11"/>
        <color theme="1"/>
        <rFont val="Calibri"/>
        <family val="2"/>
        <charset val="204"/>
        <scheme val="minor"/>
      </rPr>
      <t>10.07.2023</t>
    </r>
  </si>
  <si>
    <t>9 кл: ждем 11 кл: 3-справки</t>
  </si>
  <si>
    <t>справка</t>
  </si>
  <si>
    <t>ошибки при заполнении</t>
  </si>
  <si>
    <t>9 кл: 1 на осень</t>
  </si>
  <si>
    <t>9 кл: 3 на осень</t>
  </si>
  <si>
    <r>
      <t xml:space="preserve">9 кл: 1- справка, дата выдачи </t>
    </r>
    <r>
      <rPr>
        <b/>
        <sz val="11"/>
        <color theme="1"/>
        <rFont val="Calibri"/>
        <family val="2"/>
        <charset val="204"/>
        <scheme val="minor"/>
      </rPr>
      <t>10.07.2023</t>
    </r>
    <r>
      <rPr>
        <sz val="11"/>
        <color theme="1"/>
        <rFont val="Calibri"/>
        <family val="2"/>
        <scheme val="minor"/>
      </rPr>
      <t xml:space="preserve"> 11 кл: 2-справка</t>
    </r>
  </si>
  <si>
    <t>9кл: 4 - справки</t>
  </si>
  <si>
    <r>
      <t xml:space="preserve">9 кл: 1 не допущен 11 кл:  1 ждем </t>
    </r>
    <r>
      <rPr>
        <b/>
        <sz val="11"/>
        <color theme="1"/>
        <rFont val="Calibri"/>
        <family val="2"/>
        <charset val="204"/>
        <scheme val="minor"/>
      </rPr>
      <t>10.07.2023</t>
    </r>
    <r>
      <rPr>
        <sz val="11"/>
        <color theme="1"/>
        <rFont val="Calibri"/>
        <family val="2"/>
        <scheme val="minor"/>
      </rPr>
      <t xml:space="preserve"> мат-ку(1 справка)</t>
    </r>
  </si>
  <si>
    <t>9кл: 5 - справки  11 кл: 2 справок</t>
  </si>
  <si>
    <t>11 кл: 1 справка</t>
  </si>
  <si>
    <t>9кл: 5 - на осень, 11 кл: 1 ждем</t>
  </si>
  <si>
    <t>Опубликовали сами Не дозвонилась</t>
  </si>
  <si>
    <r>
      <rPr>
        <sz val="11"/>
        <rFont val="Calibri"/>
        <family val="2"/>
        <charset val="204"/>
        <scheme val="minor"/>
      </rPr>
      <t xml:space="preserve">9 кл: дата выдачи </t>
    </r>
    <r>
      <rPr>
        <b/>
        <sz val="11"/>
        <rFont val="Calibri"/>
        <family val="2"/>
        <charset val="204"/>
        <scheme val="minor"/>
      </rPr>
      <t xml:space="preserve">12.07.2023 </t>
    </r>
  </si>
  <si>
    <t>док опубл в 707, 9 кл: 2 справки в 11 кл. 1 справки</t>
  </si>
  <si>
    <t>9 кл: 8 учеников на осень</t>
  </si>
  <si>
    <t>9кл: 4 - на осень</t>
  </si>
  <si>
    <t>9кл: 5 - на осень  11 кл: 2 справок</t>
  </si>
  <si>
    <t>9 кл : 4 на осень 11 кл: 3 справки</t>
  </si>
  <si>
    <t>на осень</t>
  </si>
  <si>
    <t>9кл: 5 - на осень</t>
  </si>
  <si>
    <t>9-классников 12 обучающихся остались на осень.</t>
  </si>
  <si>
    <t>9 кл: 1- на осень</t>
  </si>
  <si>
    <t>9 кл: 6-на осень</t>
  </si>
  <si>
    <t>9кл: 4 человека на осень.</t>
  </si>
  <si>
    <t>9 кл : 4 справки</t>
  </si>
  <si>
    <t>9 кл: 7 -будут пересдавать в сентябре</t>
  </si>
  <si>
    <t>9 кл: 1 не допущен 11 кл:  1 - 12 сентября пересдавать.</t>
  </si>
  <si>
    <t>9кл: 1 - на сентябрь</t>
  </si>
  <si>
    <t>9кл: 6 - на осень 11 кл: 2 - справки</t>
  </si>
  <si>
    <t>9кл -2 ещё нет результатов экзам, ошибки заполнения</t>
  </si>
  <si>
    <t>9 кл: 5- на осень 11 кл: 9- ждем мат-ку и рус, ошибки заполнения</t>
  </si>
  <si>
    <t xml:space="preserve"> 9 кл: 7 справок  11 кл: 6 справок</t>
  </si>
  <si>
    <t>9 кл:  3-справки  11 кл:ждем</t>
  </si>
  <si>
    <t>в 9х и 11х кл опубл. Испорченные документы</t>
  </si>
  <si>
    <t xml:space="preserve">,  9кл ; 5 справок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</si>
</sst>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6"/>
      <color rgb="FF1A1A1A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9" xfId="0" applyFill="1" applyBorder="1"/>
    <xf numFmtId="0" fontId="0" fillId="0" borderId="5" xfId="0" applyFill="1" applyBorder="1"/>
    <xf numFmtId="0" fontId="0" fillId="0" borderId="0" xfId="0" applyFill="1"/>
    <xf numFmtId="0" fontId="0" fillId="0" borderId="8" xfId="0" applyFill="1" applyBorder="1"/>
    <xf numFmtId="0" fontId="0" fillId="0" borderId="4" xfId="0" applyFill="1" applyBorder="1"/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0" xfId="0" applyFont="1"/>
    <xf numFmtId="0" fontId="3" fillId="0" borderId="2" xfId="0" applyFont="1" applyFill="1" applyBorder="1" applyAlignment="1">
      <alignment vertical="center" wrapText="1"/>
    </xf>
    <xf numFmtId="0" fontId="0" fillId="0" borderId="18" xfId="0" applyBorder="1" applyAlignment="1">
      <alignment wrapText="1"/>
    </xf>
    <xf numFmtId="0" fontId="0" fillId="0" borderId="18" xfId="0" applyFill="1" applyBorder="1" applyAlignment="1">
      <alignment wrapText="1"/>
    </xf>
    <xf numFmtId="0" fontId="3" fillId="3" borderId="2" xfId="0" applyFont="1" applyFill="1" applyBorder="1" applyAlignment="1">
      <alignment vertical="center" wrapText="1"/>
    </xf>
    <xf numFmtId="0" fontId="0" fillId="3" borderId="4" xfId="0" applyFill="1" applyBorder="1"/>
    <xf numFmtId="0" fontId="0" fillId="3" borderId="5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8" xfId="0" applyFill="1" applyBorder="1" applyAlignment="1">
      <alignment wrapText="1"/>
    </xf>
    <xf numFmtId="0" fontId="6" fillId="0" borderId="18" xfId="0" applyFont="1" applyBorder="1" applyAlignment="1">
      <alignment wrapText="1"/>
    </xf>
    <xf numFmtId="0" fontId="6" fillId="0" borderId="4" xfId="0" applyFont="1" applyBorder="1"/>
    <xf numFmtId="0" fontId="6" fillId="0" borderId="5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0" xfId="0" applyFont="1"/>
    <xf numFmtId="0" fontId="6" fillId="0" borderId="5" xfId="0" applyFont="1" applyFill="1" applyBorder="1"/>
    <xf numFmtId="0" fontId="6" fillId="0" borderId="4" xfId="0" applyFont="1" applyFill="1" applyBorder="1"/>
    <xf numFmtId="0" fontId="5" fillId="0" borderId="18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20" xfId="0" applyBorder="1"/>
    <xf numFmtId="0" fontId="0" fillId="2" borderId="20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17" xfId="0" applyFill="1" applyBorder="1" applyAlignment="1">
      <alignment wrapText="1"/>
    </xf>
    <xf numFmtId="0" fontId="0" fillId="0" borderId="20" xfId="0" applyFill="1" applyBorder="1"/>
    <xf numFmtId="0" fontId="6" fillId="0" borderId="18" xfId="0" applyFont="1" applyFill="1" applyBorder="1" applyAlignment="1">
      <alignment wrapText="1"/>
    </xf>
    <xf numFmtId="0" fontId="3" fillId="4" borderId="2" xfId="0" applyFont="1" applyFill="1" applyBorder="1" applyAlignment="1">
      <alignment vertical="center" wrapText="1"/>
    </xf>
    <xf numFmtId="0" fontId="0" fillId="4" borderId="4" xfId="0" applyFill="1" applyBorder="1"/>
    <xf numFmtId="0" fontId="0" fillId="4" borderId="5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8" xfId="0" applyFill="1" applyBorder="1" applyAlignment="1">
      <alignment wrapText="1"/>
    </xf>
    <xf numFmtId="0" fontId="0" fillId="4" borderId="0" xfId="0" applyFill="1"/>
    <xf numFmtId="0" fontId="0" fillId="4" borderId="20" xfId="0" applyFill="1" applyBorder="1"/>
    <xf numFmtId="0" fontId="2" fillId="0" borderId="14" xfId="0" applyFont="1" applyBorder="1" applyAlignment="1">
      <alignment horizontal="center" vertical="center" wrapText="1"/>
    </xf>
    <xf numFmtId="0" fontId="7" fillId="0" borderId="10" xfId="0" applyFont="1" applyFill="1" applyBorder="1"/>
    <xf numFmtId="0" fontId="7" fillId="4" borderId="4" xfId="0" applyFont="1" applyFill="1" applyBorder="1"/>
    <xf numFmtId="0" fontId="7" fillId="0" borderId="4" xfId="0" applyFont="1" applyBorder="1"/>
    <xf numFmtId="0" fontId="7" fillId="0" borderId="4" xfId="0" applyFont="1" applyFill="1" applyBorder="1"/>
    <xf numFmtId="0" fontId="7" fillId="3" borderId="4" xfId="0" applyFont="1" applyFill="1" applyBorder="1"/>
    <xf numFmtId="0" fontId="7" fillId="0" borderId="0" xfId="0" applyFont="1"/>
    <xf numFmtId="0" fontId="3" fillId="5" borderId="2" xfId="0" applyFont="1" applyFill="1" applyBorder="1" applyAlignment="1">
      <alignment vertical="center" wrapText="1"/>
    </xf>
    <xf numFmtId="0" fontId="6" fillId="5" borderId="4" xfId="0" applyFont="1" applyFill="1" applyBorder="1"/>
    <xf numFmtId="0" fontId="6" fillId="5" borderId="5" xfId="0" applyFont="1" applyFill="1" applyBorder="1"/>
    <xf numFmtId="0" fontId="7" fillId="5" borderId="4" xfId="0" applyFont="1" applyFill="1" applyBorder="1"/>
    <xf numFmtId="0" fontId="6" fillId="5" borderId="8" xfId="0" applyFont="1" applyFill="1" applyBorder="1"/>
    <xf numFmtId="0" fontId="6" fillId="5" borderId="9" xfId="0" applyFont="1" applyFill="1" applyBorder="1"/>
    <xf numFmtId="0" fontId="6" fillId="5" borderId="18" xfId="0" applyFont="1" applyFill="1" applyBorder="1" applyAlignment="1">
      <alignment wrapText="1"/>
    </xf>
    <xf numFmtId="0" fontId="6" fillId="5" borderId="0" xfId="0" applyFont="1" applyFill="1"/>
    <xf numFmtId="0" fontId="6" fillId="5" borderId="20" xfId="0" applyFont="1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8" xfId="0" applyFill="1" applyBorder="1" applyAlignment="1">
      <alignment wrapText="1"/>
    </xf>
    <xf numFmtId="0" fontId="0" fillId="5" borderId="0" xfId="0" applyFill="1"/>
    <xf numFmtId="0" fontId="0" fillId="5" borderId="20" xfId="0" applyFill="1" applyBorder="1"/>
    <xf numFmtId="0" fontId="7" fillId="0" borderId="18" xfId="0" applyFont="1" applyBorder="1" applyAlignment="1">
      <alignment wrapText="1"/>
    </xf>
    <xf numFmtId="0" fontId="11" fillId="5" borderId="2" xfId="0" applyFont="1" applyFill="1" applyBorder="1" applyAlignment="1">
      <alignment vertical="center" wrapText="1"/>
    </xf>
    <xf numFmtId="0" fontId="5" fillId="5" borderId="4" xfId="0" applyFont="1" applyFill="1" applyBorder="1"/>
    <xf numFmtId="0" fontId="5" fillId="5" borderId="5" xfId="0" applyFont="1" applyFill="1" applyBorder="1"/>
    <xf numFmtId="0" fontId="8" fillId="5" borderId="4" xfId="0" applyFont="1" applyFill="1" applyBorder="1"/>
    <xf numFmtId="0" fontId="5" fillId="5" borderId="8" xfId="0" applyFont="1" applyFill="1" applyBorder="1"/>
    <xf numFmtId="0" fontId="5" fillId="5" borderId="9" xfId="0" applyFont="1" applyFill="1" applyBorder="1"/>
    <xf numFmtId="0" fontId="5" fillId="5" borderId="18" xfId="0" applyFont="1" applyFill="1" applyBorder="1" applyAlignment="1">
      <alignment wrapText="1"/>
    </xf>
    <xf numFmtId="0" fontId="5" fillId="5" borderId="0" xfId="0" applyFont="1" applyFill="1"/>
    <xf numFmtId="0" fontId="5" fillId="5" borderId="20" xfId="0" applyFont="1" applyFill="1" applyBorder="1"/>
    <xf numFmtId="0" fontId="0" fillId="0" borderId="6" xfId="0" applyFill="1" applyBorder="1"/>
    <xf numFmtId="0" fontId="0" fillId="0" borderId="7" xfId="0" applyFill="1" applyBorder="1"/>
    <xf numFmtId="0" fontId="7" fillId="0" borderId="6" xfId="0" applyFont="1" applyFill="1" applyBorder="1"/>
    <xf numFmtId="0" fontId="0" fillId="0" borderId="19" xfId="0" applyFill="1" applyBorder="1" applyAlignment="1">
      <alignment wrapText="1"/>
    </xf>
    <xf numFmtId="0" fontId="6" fillId="0" borderId="8" xfId="0" applyFont="1" applyFill="1" applyBorder="1"/>
    <xf numFmtId="0" fontId="6" fillId="0" borderId="9" xfId="0" applyFont="1" applyFill="1" applyBorder="1"/>
    <xf numFmtId="0" fontId="7" fillId="0" borderId="9" xfId="0" applyFont="1" applyFill="1" applyBorder="1" applyAlignment="1">
      <alignment wrapText="1"/>
    </xf>
    <xf numFmtId="0" fontId="6" fillId="0" borderId="0" xfId="0" applyFont="1" applyFill="1"/>
    <xf numFmtId="0" fontId="10" fillId="0" borderId="0" xfId="0" applyFont="1" applyFill="1"/>
    <xf numFmtId="0" fontId="9" fillId="0" borderId="0" xfId="0" applyFont="1" applyFill="1" applyAlignment="1">
      <alignment vertical="center" wrapText="1"/>
    </xf>
    <xf numFmtId="0" fontId="6" fillId="0" borderId="20" xfId="0" applyFont="1" applyFill="1" applyBorder="1"/>
    <xf numFmtId="0" fontId="0" fillId="0" borderId="21" xfId="0" applyFill="1" applyBorder="1"/>
    <xf numFmtId="0" fontId="7" fillId="0" borderId="18" xfId="0" applyFont="1" applyFill="1" applyBorder="1" applyAlignment="1">
      <alignment wrapText="1"/>
    </xf>
    <xf numFmtId="0" fontId="3" fillId="0" borderId="3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0" fillId="6" borderId="4" xfId="0" applyFill="1" applyBorder="1"/>
    <xf numFmtId="0" fontId="0" fillId="6" borderId="5" xfId="0" applyFill="1" applyBorder="1"/>
    <xf numFmtId="0" fontId="7" fillId="6" borderId="4" xfId="0" applyFont="1" applyFill="1" applyBorder="1"/>
    <xf numFmtId="0" fontId="0" fillId="6" borderId="8" xfId="0" applyFill="1" applyBorder="1"/>
    <xf numFmtId="0" fontId="0" fillId="6" borderId="9" xfId="0" applyFill="1" applyBorder="1"/>
    <xf numFmtId="0" fontId="6" fillId="6" borderId="18" xfId="0" applyFont="1" applyFill="1" applyBorder="1" applyAlignment="1">
      <alignment wrapText="1"/>
    </xf>
    <xf numFmtId="0" fontId="0" fillId="6" borderId="0" xfId="0" applyFill="1"/>
    <xf numFmtId="0" fontId="0" fillId="6" borderId="20" xfId="0" applyFill="1" applyBorder="1"/>
    <xf numFmtId="0" fontId="6" fillId="6" borderId="5" xfId="0" applyFont="1" applyFill="1" applyBorder="1"/>
    <xf numFmtId="0" fontId="0" fillId="6" borderId="18" xfId="0" applyFill="1" applyBorder="1" applyAlignment="1">
      <alignment wrapText="1"/>
    </xf>
    <xf numFmtId="0" fontId="8" fillId="6" borderId="4" xfId="0" applyFont="1" applyFill="1" applyBorder="1"/>
    <xf numFmtId="0" fontId="3" fillId="6" borderId="3" xfId="0" applyFont="1" applyFill="1" applyBorder="1" applyAlignment="1">
      <alignment vertical="center" wrapText="1"/>
    </xf>
    <xf numFmtId="0" fontId="6" fillId="6" borderId="4" xfId="0" applyFont="1" applyFill="1" applyBorder="1"/>
    <xf numFmtId="0" fontId="6" fillId="6" borderId="8" xfId="0" applyFont="1" applyFill="1" applyBorder="1"/>
    <xf numFmtId="0" fontId="6" fillId="6" borderId="9" xfId="0" applyFont="1" applyFill="1" applyBorder="1"/>
    <xf numFmtId="0" fontId="6" fillId="6" borderId="0" xfId="0" applyFont="1" applyFill="1"/>
    <xf numFmtId="0" fontId="7" fillId="6" borderId="5" xfId="0" applyFont="1" applyFill="1" applyBorder="1"/>
    <xf numFmtId="0" fontId="6" fillId="6" borderId="20" xfId="0" applyFont="1" applyFill="1" applyBorder="1"/>
    <xf numFmtId="0" fontId="0" fillId="6" borderId="21" xfId="0" applyFill="1" applyBorder="1"/>
    <xf numFmtId="0" fontId="9" fillId="6" borderId="0" xfId="0" applyFont="1" applyFill="1" applyAlignment="1">
      <alignment vertical="center" wrapText="1"/>
    </xf>
    <xf numFmtId="0" fontId="11" fillId="6" borderId="2" xfId="0" applyFont="1" applyFill="1" applyBorder="1" applyAlignment="1">
      <alignment vertical="center" wrapText="1"/>
    </xf>
    <xf numFmtId="0" fontId="5" fillId="6" borderId="4" xfId="0" applyFont="1" applyFill="1" applyBorder="1"/>
    <xf numFmtId="0" fontId="5" fillId="6" borderId="5" xfId="0" applyFont="1" applyFill="1" applyBorder="1"/>
    <xf numFmtId="0" fontId="5" fillId="6" borderId="8" xfId="0" applyFont="1" applyFill="1" applyBorder="1"/>
    <xf numFmtId="0" fontId="5" fillId="6" borderId="9" xfId="0" applyFont="1" applyFill="1" applyBorder="1"/>
    <xf numFmtId="0" fontId="5" fillId="6" borderId="18" xfId="0" applyFont="1" applyFill="1" applyBorder="1" applyAlignment="1">
      <alignment wrapText="1"/>
    </xf>
    <xf numFmtId="0" fontId="5" fillId="6" borderId="0" xfId="0" applyFont="1" applyFill="1"/>
    <xf numFmtId="0" fontId="5" fillId="6" borderId="2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O67"/>
  <sheetViews>
    <sheetView topLeftCell="A22" workbookViewId="0">
      <selection activeCell="E43" sqref="E43"/>
    </sheetView>
  </sheetViews>
  <sheetFormatPr defaultRowHeight="15" x14ac:dyDescent="0.25"/>
  <cols>
    <col min="1" max="1" width="16" style="16" customWidth="1"/>
    <col min="2" max="2" width="8.28515625" customWidth="1"/>
    <col min="3" max="3" width="7.42578125" customWidth="1"/>
    <col min="4" max="4" width="9" style="59" customWidth="1"/>
    <col min="5" max="5" width="7.7109375" customWidth="1"/>
    <col min="6" max="6" width="21.85546875" customWidth="1"/>
    <col min="8" max="8" width="46.85546875" customWidth="1"/>
    <col min="13" max="13" width="12.140625" customWidth="1"/>
  </cols>
  <sheetData>
    <row r="1" spans="1:11" ht="90.75" thickBot="1" x14ac:dyDescent="0.3">
      <c r="A1" s="14" t="s">
        <v>64</v>
      </c>
      <c r="B1" s="5" t="s">
        <v>65</v>
      </c>
      <c r="C1" s="6" t="s">
        <v>67</v>
      </c>
      <c r="D1" s="53" t="s">
        <v>66</v>
      </c>
      <c r="E1" s="6" t="s">
        <v>68</v>
      </c>
      <c r="F1" s="7" t="s">
        <v>69</v>
      </c>
      <c r="G1" s="8" t="s">
        <v>70</v>
      </c>
      <c r="H1" s="8" t="s">
        <v>71</v>
      </c>
      <c r="J1" s="35" t="s">
        <v>73</v>
      </c>
      <c r="K1" s="35" t="s">
        <v>74</v>
      </c>
    </row>
    <row r="2" spans="1:11" s="11" customFormat="1" ht="16.5" thickBot="1" x14ac:dyDescent="0.3">
      <c r="A2" s="17" t="s">
        <v>0</v>
      </c>
      <c r="B2" s="38">
        <v>59</v>
      </c>
      <c r="C2" s="39">
        <f>53+6</f>
        <v>59</v>
      </c>
      <c r="D2" s="54">
        <v>33</v>
      </c>
      <c r="E2" s="39">
        <f>5+27</f>
        <v>32</v>
      </c>
      <c r="F2" s="40"/>
      <c r="G2" s="41">
        <f>(B2+D2)-(C2+E2)</f>
        <v>1</v>
      </c>
      <c r="H2" s="42" t="s">
        <v>116</v>
      </c>
      <c r="J2" s="43">
        <f>B2-C2</f>
        <v>0</v>
      </c>
      <c r="K2" s="43">
        <f>D2-E2</f>
        <v>1</v>
      </c>
    </row>
    <row r="3" spans="1:11" s="11" customFormat="1" ht="16.5" thickBot="1" x14ac:dyDescent="0.3">
      <c r="A3" s="17" t="s">
        <v>1</v>
      </c>
      <c r="B3" s="13">
        <v>64</v>
      </c>
      <c r="C3" s="10">
        <f>17+46</f>
        <v>63</v>
      </c>
      <c r="D3" s="57">
        <v>30</v>
      </c>
      <c r="E3" s="10">
        <v>29</v>
      </c>
      <c r="F3" s="12"/>
      <c r="G3" s="9">
        <f t="shared" ref="G3:G65" si="0">(B3+D3)-(C3+E3)</f>
        <v>2</v>
      </c>
      <c r="H3" s="19" t="s">
        <v>96</v>
      </c>
      <c r="J3" s="43">
        <f t="shared" ref="J3:J65" si="1">B3-C3</f>
        <v>1</v>
      </c>
      <c r="K3" s="43">
        <f t="shared" ref="K3:K65" si="2">D3-E3</f>
        <v>1</v>
      </c>
    </row>
    <row r="4" spans="1:11" s="31" customFormat="1" ht="16.5" hidden="1" thickBot="1" x14ac:dyDescent="0.3">
      <c r="A4" s="15" t="s">
        <v>2</v>
      </c>
      <c r="B4" s="27"/>
      <c r="C4" s="28"/>
      <c r="D4" s="56"/>
      <c r="E4" s="28"/>
      <c r="F4" s="29">
        <v>29</v>
      </c>
      <c r="G4" s="30">
        <f t="shared" si="0"/>
        <v>0</v>
      </c>
      <c r="H4" s="26"/>
      <c r="J4" s="36">
        <f t="shared" si="1"/>
        <v>0</v>
      </c>
      <c r="K4" s="36">
        <f t="shared" si="2"/>
        <v>0</v>
      </c>
    </row>
    <row r="5" spans="1:11" s="51" customFormat="1" ht="16.5" hidden="1" thickBot="1" x14ac:dyDescent="0.3">
      <c r="A5" s="45" t="s">
        <v>3</v>
      </c>
      <c r="B5" s="46">
        <v>45</v>
      </c>
      <c r="C5" s="47">
        <f>1+44</f>
        <v>45</v>
      </c>
      <c r="D5" s="55"/>
      <c r="E5" s="47"/>
      <c r="F5" s="48"/>
      <c r="G5" s="49">
        <f t="shared" si="0"/>
        <v>0</v>
      </c>
      <c r="H5" s="50"/>
      <c r="J5" s="52">
        <f t="shared" si="1"/>
        <v>0</v>
      </c>
      <c r="K5" s="52">
        <f t="shared" si="2"/>
        <v>0</v>
      </c>
    </row>
    <row r="6" spans="1:11" s="11" customFormat="1" ht="16.5" thickBot="1" x14ac:dyDescent="0.3">
      <c r="A6" s="17" t="s">
        <v>4</v>
      </c>
      <c r="B6" s="13">
        <v>76</v>
      </c>
      <c r="C6" s="10">
        <f>14+57</f>
        <v>71</v>
      </c>
      <c r="D6" s="57">
        <v>22</v>
      </c>
      <c r="E6" s="10">
        <v>21</v>
      </c>
      <c r="F6" s="12"/>
      <c r="G6" s="9">
        <f>(B6+D6)-(C6+E6)</f>
        <v>6</v>
      </c>
      <c r="H6" s="44" t="s">
        <v>117</v>
      </c>
      <c r="J6" s="43">
        <f t="shared" si="1"/>
        <v>5</v>
      </c>
      <c r="K6" s="43">
        <f t="shared" si="2"/>
        <v>1</v>
      </c>
    </row>
    <row r="7" spans="1:11" s="11" customFormat="1" ht="16.5" hidden="1" thickBot="1" x14ac:dyDescent="0.3">
      <c r="A7" s="17" t="s">
        <v>5</v>
      </c>
      <c r="B7" s="13"/>
      <c r="C7" s="10"/>
      <c r="D7" s="57"/>
      <c r="E7" s="10"/>
      <c r="F7" s="12">
        <v>27</v>
      </c>
      <c r="G7" s="9">
        <f t="shared" si="0"/>
        <v>0</v>
      </c>
      <c r="H7" s="19" t="s">
        <v>72</v>
      </c>
      <c r="J7" s="43">
        <f t="shared" si="1"/>
        <v>0</v>
      </c>
      <c r="K7" s="43">
        <f t="shared" si="2"/>
        <v>0</v>
      </c>
    </row>
    <row r="8" spans="1:11" s="51" customFormat="1" ht="16.5" hidden="1" thickBot="1" x14ac:dyDescent="0.3">
      <c r="A8" s="45" t="s">
        <v>6</v>
      </c>
      <c r="B8" s="46">
        <v>46</v>
      </c>
      <c r="C8" s="47">
        <v>46</v>
      </c>
      <c r="D8" s="55">
        <v>32</v>
      </c>
      <c r="E8" s="47">
        <f>29+3</f>
        <v>32</v>
      </c>
      <c r="F8" s="48"/>
      <c r="G8" s="49">
        <f t="shared" si="0"/>
        <v>0</v>
      </c>
      <c r="H8" s="50"/>
      <c r="J8" s="52">
        <f t="shared" si="1"/>
        <v>0</v>
      </c>
      <c r="K8" s="52">
        <f t="shared" si="2"/>
        <v>0</v>
      </c>
    </row>
    <row r="9" spans="1:11" s="74" customFormat="1" ht="16.5" hidden="1" thickBot="1" x14ac:dyDescent="0.3">
      <c r="A9" s="60" t="s">
        <v>7</v>
      </c>
      <c r="B9" s="61">
        <v>63</v>
      </c>
      <c r="C9" s="62">
        <f>53+10</f>
        <v>63</v>
      </c>
      <c r="D9" s="63">
        <v>36</v>
      </c>
      <c r="E9" s="70">
        <f>33+1+1+1</f>
        <v>36</v>
      </c>
      <c r="F9" s="71"/>
      <c r="G9" s="72">
        <f>(B9+D9)-(C9+E9)</f>
        <v>0</v>
      </c>
      <c r="H9" s="73" t="s">
        <v>98</v>
      </c>
      <c r="J9" s="75">
        <f t="shared" si="1"/>
        <v>0</v>
      </c>
      <c r="K9" s="75">
        <f t="shared" si="2"/>
        <v>0</v>
      </c>
    </row>
    <row r="10" spans="1:11" ht="16.5" hidden="1" thickBot="1" x14ac:dyDescent="0.3">
      <c r="A10" s="15" t="s">
        <v>8</v>
      </c>
      <c r="B10" s="13">
        <v>6</v>
      </c>
      <c r="C10" s="10">
        <v>6</v>
      </c>
      <c r="D10" s="57"/>
      <c r="E10" s="2"/>
      <c r="F10" s="3">
        <v>1</v>
      </c>
      <c r="G10" s="9">
        <f>(B10+D10)-(C10+E10)</f>
        <v>0</v>
      </c>
      <c r="H10" s="18"/>
      <c r="J10" s="36">
        <f t="shared" si="1"/>
        <v>0</v>
      </c>
      <c r="K10" s="36">
        <f t="shared" si="2"/>
        <v>0</v>
      </c>
    </row>
    <row r="11" spans="1:11" s="11" customFormat="1" ht="16.5" hidden="1" thickBot="1" x14ac:dyDescent="0.3">
      <c r="A11" s="17" t="s">
        <v>9</v>
      </c>
      <c r="B11" s="13">
        <v>42</v>
      </c>
      <c r="C11" s="10">
        <v>42</v>
      </c>
      <c r="D11" s="57"/>
      <c r="E11" s="10"/>
      <c r="F11" s="12"/>
      <c r="G11" s="9">
        <f t="shared" si="0"/>
        <v>0</v>
      </c>
      <c r="H11" s="19" t="s">
        <v>72</v>
      </c>
      <c r="J11" s="43">
        <f t="shared" si="1"/>
        <v>0</v>
      </c>
      <c r="K11" s="43">
        <f t="shared" si="2"/>
        <v>0</v>
      </c>
    </row>
    <row r="12" spans="1:11" s="74" customFormat="1" ht="16.5" thickBot="1" x14ac:dyDescent="0.3">
      <c r="A12" s="60" t="s">
        <v>10</v>
      </c>
      <c r="B12" s="69">
        <v>60</v>
      </c>
      <c r="C12" s="70">
        <f>11+47</f>
        <v>58</v>
      </c>
      <c r="D12" s="63">
        <v>25</v>
      </c>
      <c r="E12" s="70">
        <f>3+21</f>
        <v>24</v>
      </c>
      <c r="F12" s="71"/>
      <c r="G12" s="72">
        <f t="shared" si="0"/>
        <v>3</v>
      </c>
      <c r="H12" s="73" t="s">
        <v>120</v>
      </c>
      <c r="J12" s="75">
        <f t="shared" si="1"/>
        <v>2</v>
      </c>
      <c r="K12" s="75">
        <f t="shared" si="2"/>
        <v>1</v>
      </c>
    </row>
    <row r="13" spans="1:11" s="74" customFormat="1" ht="16.5" thickBot="1" x14ac:dyDescent="0.3">
      <c r="A13" s="60" t="s">
        <v>11</v>
      </c>
      <c r="B13" s="69">
        <v>88</v>
      </c>
      <c r="C13" s="70">
        <f>22+58</f>
        <v>80</v>
      </c>
      <c r="D13" s="63">
        <v>56</v>
      </c>
      <c r="E13" s="70">
        <v>56</v>
      </c>
      <c r="F13" s="71"/>
      <c r="G13" s="72">
        <f t="shared" si="0"/>
        <v>8</v>
      </c>
      <c r="H13" s="73" t="s">
        <v>121</v>
      </c>
      <c r="J13" s="75">
        <f t="shared" si="1"/>
        <v>8</v>
      </c>
      <c r="K13" s="75">
        <f t="shared" si="2"/>
        <v>0</v>
      </c>
    </row>
    <row r="14" spans="1:11" s="11" customFormat="1" ht="16.5" thickBot="1" x14ac:dyDescent="0.3">
      <c r="A14" s="17" t="s">
        <v>12</v>
      </c>
      <c r="B14" s="13">
        <v>80</v>
      </c>
      <c r="C14" s="10">
        <v>79</v>
      </c>
      <c r="D14" s="57">
        <v>16</v>
      </c>
      <c r="E14" s="10">
        <v>16</v>
      </c>
      <c r="F14" s="12"/>
      <c r="G14" s="9">
        <f t="shared" si="0"/>
        <v>1</v>
      </c>
      <c r="H14" s="19" t="s">
        <v>110</v>
      </c>
      <c r="J14" s="43">
        <f t="shared" si="1"/>
        <v>1</v>
      </c>
      <c r="K14" s="43">
        <f t="shared" si="2"/>
        <v>0</v>
      </c>
    </row>
    <row r="15" spans="1:11" ht="16.5" hidden="1" thickBot="1" x14ac:dyDescent="0.3">
      <c r="A15" s="15" t="s">
        <v>13</v>
      </c>
      <c r="B15" s="1"/>
      <c r="C15" s="2"/>
      <c r="D15" s="56"/>
      <c r="E15" s="2"/>
      <c r="F15" s="3"/>
      <c r="G15" s="4">
        <f t="shared" si="0"/>
        <v>0</v>
      </c>
      <c r="H15" s="18"/>
      <c r="J15" s="36">
        <f t="shared" si="1"/>
        <v>0</v>
      </c>
      <c r="K15" s="36">
        <f t="shared" si="2"/>
        <v>0</v>
      </c>
    </row>
    <row r="16" spans="1:11" s="93" customFormat="1" ht="45.75" thickBot="1" x14ac:dyDescent="0.3">
      <c r="A16" s="17" t="s">
        <v>14</v>
      </c>
      <c r="B16" s="33">
        <f>72+1</f>
        <v>73</v>
      </c>
      <c r="C16" s="32">
        <f>25+20+12+4+3+6</f>
        <v>70</v>
      </c>
      <c r="D16" s="57">
        <f>1+44</f>
        <v>45</v>
      </c>
      <c r="E16" s="32">
        <v>41</v>
      </c>
      <c r="F16" s="90"/>
      <c r="G16" s="91">
        <f t="shared" si="0"/>
        <v>7</v>
      </c>
      <c r="H16" s="92" t="s">
        <v>97</v>
      </c>
      <c r="J16" s="43">
        <f t="shared" si="1"/>
        <v>3</v>
      </c>
      <c r="K16" s="43">
        <f t="shared" si="2"/>
        <v>4</v>
      </c>
    </row>
    <row r="17" spans="1:19" s="11" customFormat="1" ht="16.5" hidden="1" thickBot="1" x14ac:dyDescent="0.3">
      <c r="A17" s="17" t="s">
        <v>15</v>
      </c>
      <c r="B17" s="13">
        <v>62</v>
      </c>
      <c r="C17" s="10">
        <f>5+57</f>
        <v>62</v>
      </c>
      <c r="D17" s="57">
        <v>46</v>
      </c>
      <c r="E17" s="32">
        <f>45+1</f>
        <v>46</v>
      </c>
      <c r="F17" s="12"/>
      <c r="G17" s="9">
        <f t="shared" si="0"/>
        <v>0</v>
      </c>
      <c r="H17" s="34"/>
      <c r="J17" s="43">
        <f t="shared" si="1"/>
        <v>0</v>
      </c>
      <c r="K17" s="43">
        <f t="shared" si="2"/>
        <v>0</v>
      </c>
    </row>
    <row r="18" spans="1:19" s="31" customFormat="1" ht="16.5" hidden="1" thickBot="1" x14ac:dyDescent="0.3">
      <c r="A18" s="15" t="s">
        <v>16</v>
      </c>
      <c r="B18" s="33">
        <f>1+50</f>
        <v>51</v>
      </c>
      <c r="C18" s="32">
        <f>2+49</f>
        <v>51</v>
      </c>
      <c r="D18" s="57">
        <f>1+38</f>
        <v>39</v>
      </c>
      <c r="E18" s="28">
        <f>5+34</f>
        <v>39</v>
      </c>
      <c r="F18" s="29"/>
      <c r="G18" s="30">
        <f t="shared" si="0"/>
        <v>0</v>
      </c>
      <c r="H18" s="26"/>
      <c r="J18" s="36">
        <f t="shared" si="1"/>
        <v>0</v>
      </c>
      <c r="K18" s="36">
        <f t="shared" si="2"/>
        <v>0</v>
      </c>
    </row>
    <row r="19" spans="1:19" s="11" customFormat="1" ht="16.5" thickBot="1" x14ac:dyDescent="0.3">
      <c r="A19" s="17" t="s">
        <v>17</v>
      </c>
      <c r="B19" s="13">
        <v>51</v>
      </c>
      <c r="C19" s="10">
        <f>47+2</f>
        <v>49</v>
      </c>
      <c r="D19" s="57">
        <v>35</v>
      </c>
      <c r="E19" s="10">
        <f>2+32</f>
        <v>34</v>
      </c>
      <c r="F19" s="12"/>
      <c r="G19" s="9">
        <f t="shared" si="0"/>
        <v>3</v>
      </c>
      <c r="H19" s="94" t="s">
        <v>99</v>
      </c>
      <c r="J19" s="43">
        <f t="shared" si="1"/>
        <v>2</v>
      </c>
      <c r="K19" s="43">
        <f t="shared" si="2"/>
        <v>1</v>
      </c>
    </row>
    <row r="20" spans="1:19" s="93" customFormat="1" ht="16.5" thickBot="1" x14ac:dyDescent="0.3">
      <c r="A20" s="17" t="s">
        <v>18</v>
      </c>
      <c r="B20" s="33">
        <f>48+5</f>
        <v>53</v>
      </c>
      <c r="C20" s="32">
        <v>51</v>
      </c>
      <c r="D20" s="57">
        <v>26</v>
      </c>
      <c r="E20" s="32">
        <f>2+23+1</f>
        <v>26</v>
      </c>
      <c r="F20" s="90"/>
      <c r="G20" s="91">
        <f t="shared" si="0"/>
        <v>2</v>
      </c>
      <c r="H20" s="44" t="s">
        <v>100</v>
      </c>
      <c r="J20" s="43">
        <f t="shared" si="1"/>
        <v>2</v>
      </c>
      <c r="K20" s="43">
        <f t="shared" si="2"/>
        <v>0</v>
      </c>
    </row>
    <row r="21" spans="1:19" s="11" customFormat="1" ht="30.75" thickBot="1" x14ac:dyDescent="0.3">
      <c r="A21" s="17" t="s">
        <v>19</v>
      </c>
      <c r="B21" s="13">
        <v>85</v>
      </c>
      <c r="C21" s="10">
        <f>66+1+11</f>
        <v>78</v>
      </c>
      <c r="D21" s="57">
        <v>46</v>
      </c>
      <c r="E21" s="10">
        <f>40+1</f>
        <v>41</v>
      </c>
      <c r="F21" s="12"/>
      <c r="G21" s="9">
        <f t="shared" si="0"/>
        <v>12</v>
      </c>
      <c r="H21" s="19" t="s">
        <v>84</v>
      </c>
      <c r="J21" s="43">
        <f t="shared" si="1"/>
        <v>7</v>
      </c>
      <c r="K21" s="43">
        <f t="shared" si="2"/>
        <v>5</v>
      </c>
      <c r="M21" s="95"/>
      <c r="N21" s="95"/>
    </row>
    <row r="22" spans="1:19" s="93" customFormat="1" ht="16.5" thickBot="1" x14ac:dyDescent="0.3">
      <c r="A22" s="17" t="s">
        <v>20</v>
      </c>
      <c r="B22" s="33">
        <v>104</v>
      </c>
      <c r="C22" s="32">
        <f>23+75</f>
        <v>98</v>
      </c>
      <c r="D22" s="57">
        <v>31</v>
      </c>
      <c r="E22" s="32">
        <f>4+25</f>
        <v>29</v>
      </c>
      <c r="F22" s="90"/>
      <c r="G22" s="91">
        <f t="shared" si="0"/>
        <v>8</v>
      </c>
      <c r="H22" s="44" t="s">
        <v>102</v>
      </c>
      <c r="J22" s="96">
        <f t="shared" si="1"/>
        <v>6</v>
      </c>
      <c r="K22" s="96">
        <f t="shared" si="2"/>
        <v>2</v>
      </c>
    </row>
    <row r="23" spans="1:19" s="74" customFormat="1" ht="16.5" thickBot="1" x14ac:dyDescent="0.3">
      <c r="A23" s="60" t="s">
        <v>21</v>
      </c>
      <c r="B23" s="69">
        <v>107</v>
      </c>
      <c r="C23" s="70">
        <f>81+22</f>
        <v>103</v>
      </c>
      <c r="D23" s="63">
        <v>30</v>
      </c>
      <c r="E23" s="70">
        <f>1+29</f>
        <v>30</v>
      </c>
      <c r="F23" s="71"/>
      <c r="G23" s="72">
        <f t="shared" si="0"/>
        <v>4</v>
      </c>
      <c r="H23" s="73" t="s">
        <v>122</v>
      </c>
      <c r="J23" s="75">
        <f t="shared" si="1"/>
        <v>4</v>
      </c>
      <c r="K23" s="75">
        <f t="shared" si="2"/>
        <v>0</v>
      </c>
    </row>
    <row r="24" spans="1:19" s="74" customFormat="1" ht="16.5" thickBot="1" x14ac:dyDescent="0.3">
      <c r="A24" s="60" t="s">
        <v>22</v>
      </c>
      <c r="B24" s="69">
        <v>48</v>
      </c>
      <c r="C24" s="70">
        <f>11+31+1</f>
        <v>43</v>
      </c>
      <c r="D24" s="63">
        <v>32</v>
      </c>
      <c r="E24" s="70">
        <f>2+24+4</f>
        <v>30</v>
      </c>
      <c r="F24" s="71"/>
      <c r="G24" s="72">
        <f t="shared" si="0"/>
        <v>7</v>
      </c>
      <c r="H24" s="73" t="s">
        <v>123</v>
      </c>
      <c r="J24" s="75">
        <f t="shared" si="1"/>
        <v>5</v>
      </c>
      <c r="K24" s="75">
        <f t="shared" si="2"/>
        <v>2</v>
      </c>
    </row>
    <row r="25" spans="1:19" s="11" customFormat="1" ht="16.5" thickBot="1" x14ac:dyDescent="0.3">
      <c r="A25" s="17" t="s">
        <v>23</v>
      </c>
      <c r="B25" s="13">
        <v>62</v>
      </c>
      <c r="C25" s="10">
        <f>16+45</f>
        <v>61</v>
      </c>
      <c r="D25" s="57">
        <v>23</v>
      </c>
      <c r="E25" s="10">
        <v>20</v>
      </c>
      <c r="F25" s="12"/>
      <c r="G25" s="9">
        <f t="shared" si="0"/>
        <v>4</v>
      </c>
      <c r="H25" s="19" t="s">
        <v>94</v>
      </c>
      <c r="J25" s="43">
        <f t="shared" si="1"/>
        <v>1</v>
      </c>
      <c r="K25" s="43">
        <f t="shared" si="2"/>
        <v>3</v>
      </c>
    </row>
    <row r="26" spans="1:19" s="11" customFormat="1" ht="16.5" thickBot="1" x14ac:dyDescent="0.3">
      <c r="A26" s="17" t="s">
        <v>24</v>
      </c>
      <c r="B26" s="13">
        <v>63</v>
      </c>
      <c r="C26" s="10">
        <f>10+48+1</f>
        <v>59</v>
      </c>
      <c r="D26" s="57">
        <v>33</v>
      </c>
      <c r="E26" s="10">
        <f>1+29</f>
        <v>30</v>
      </c>
      <c r="F26" s="12"/>
      <c r="G26" s="9">
        <f t="shared" si="0"/>
        <v>7</v>
      </c>
      <c r="H26" s="19" t="s">
        <v>124</v>
      </c>
      <c r="J26" s="43">
        <f t="shared" si="1"/>
        <v>4</v>
      </c>
      <c r="K26" s="43">
        <f t="shared" si="2"/>
        <v>3</v>
      </c>
      <c r="M26" s="43"/>
      <c r="N26" s="43"/>
      <c r="O26" s="43" t="s">
        <v>79</v>
      </c>
      <c r="P26" s="43" t="s">
        <v>77</v>
      </c>
      <c r="Q26" s="43" t="s">
        <v>78</v>
      </c>
      <c r="R26" s="43" t="s">
        <v>80</v>
      </c>
      <c r="S26" s="97" t="s">
        <v>83</v>
      </c>
    </row>
    <row r="27" spans="1:19" s="11" customFormat="1" ht="16.5" thickBot="1" x14ac:dyDescent="0.3">
      <c r="A27" s="17" t="s">
        <v>25</v>
      </c>
      <c r="B27" s="13">
        <v>92</v>
      </c>
      <c r="C27" s="10">
        <f>15+72</f>
        <v>87</v>
      </c>
      <c r="D27" s="57">
        <v>53</v>
      </c>
      <c r="E27" s="10">
        <v>53</v>
      </c>
      <c r="F27" s="12"/>
      <c r="G27" s="9">
        <f t="shared" si="0"/>
        <v>5</v>
      </c>
      <c r="H27" s="19" t="s">
        <v>125</v>
      </c>
      <c r="J27" s="43">
        <f t="shared" si="1"/>
        <v>5</v>
      </c>
      <c r="K27" s="43">
        <f t="shared" si="2"/>
        <v>0</v>
      </c>
      <c r="M27" s="43" t="s">
        <v>81</v>
      </c>
      <c r="N27" s="43">
        <v>12</v>
      </c>
      <c r="O27" s="43"/>
      <c r="P27" s="43">
        <v>2</v>
      </c>
      <c r="Q27" s="43">
        <v>10</v>
      </c>
      <c r="R27" s="43"/>
    </row>
    <row r="28" spans="1:19" s="11" customFormat="1" ht="33" customHeight="1" thickBot="1" x14ac:dyDescent="0.3">
      <c r="A28" s="17" t="s">
        <v>26</v>
      </c>
      <c r="B28" s="13">
        <v>85</v>
      </c>
      <c r="C28" s="10">
        <f>12+68</f>
        <v>80</v>
      </c>
      <c r="D28" s="57">
        <v>102</v>
      </c>
      <c r="E28" s="10">
        <v>93</v>
      </c>
      <c r="F28" s="12"/>
      <c r="G28" s="9">
        <f>(B28+D28)-(C28+E28)</f>
        <v>14</v>
      </c>
      <c r="H28" s="19" t="s">
        <v>91</v>
      </c>
      <c r="J28" s="43">
        <f t="shared" si="1"/>
        <v>5</v>
      </c>
      <c r="K28" s="43">
        <f t="shared" si="2"/>
        <v>9</v>
      </c>
      <c r="M28" s="43" t="s">
        <v>75</v>
      </c>
      <c r="N28" s="43">
        <f>O28+P28+Q28+S28</f>
        <v>73</v>
      </c>
      <c r="O28" s="43">
        <v>9</v>
      </c>
      <c r="P28" s="43">
        <v>15</v>
      </c>
      <c r="Q28" s="43">
        <v>44</v>
      </c>
      <c r="R28" s="43"/>
      <c r="S28" s="97">
        <v>5</v>
      </c>
    </row>
    <row r="29" spans="1:19" s="74" customFormat="1" ht="30.75" thickBot="1" x14ac:dyDescent="0.3">
      <c r="A29" s="60" t="s">
        <v>27</v>
      </c>
      <c r="B29" s="69">
        <v>88</v>
      </c>
      <c r="C29" s="70">
        <f>16+67</f>
        <v>83</v>
      </c>
      <c r="D29" s="63">
        <v>54</v>
      </c>
      <c r="E29" s="70">
        <v>51</v>
      </c>
      <c r="F29" s="71"/>
      <c r="G29" s="72">
        <f t="shared" si="0"/>
        <v>8</v>
      </c>
      <c r="H29" s="73" t="s">
        <v>105</v>
      </c>
      <c r="J29" s="75">
        <f t="shared" si="1"/>
        <v>5</v>
      </c>
      <c r="K29" s="75">
        <f t="shared" si="2"/>
        <v>3</v>
      </c>
      <c r="M29" s="75"/>
      <c r="N29" s="75">
        <f>N27+N28</f>
        <v>85</v>
      </c>
      <c r="O29" s="75"/>
      <c r="P29" s="75"/>
      <c r="Q29" s="75"/>
      <c r="R29" s="75"/>
    </row>
    <row r="30" spans="1:19" s="11" customFormat="1" ht="16.5" thickBot="1" x14ac:dyDescent="0.3">
      <c r="A30" s="17" t="s">
        <v>28</v>
      </c>
      <c r="B30" s="13">
        <v>63</v>
      </c>
      <c r="C30" s="10">
        <f>8+50</f>
        <v>58</v>
      </c>
      <c r="D30" s="57">
        <v>27</v>
      </c>
      <c r="E30" s="10">
        <v>27</v>
      </c>
      <c r="F30" s="12"/>
      <c r="G30" s="9">
        <f t="shared" si="0"/>
        <v>5</v>
      </c>
      <c r="H30" s="19" t="s">
        <v>86</v>
      </c>
      <c r="J30" s="43">
        <f t="shared" si="1"/>
        <v>5</v>
      </c>
      <c r="K30" s="43">
        <f t="shared" si="2"/>
        <v>0</v>
      </c>
      <c r="M30" s="43"/>
      <c r="N30" s="43"/>
      <c r="O30" s="43"/>
      <c r="P30" s="43"/>
      <c r="Q30" s="43"/>
      <c r="R30" s="43"/>
    </row>
    <row r="31" spans="1:19" s="11" customFormat="1" ht="16.5" thickBot="1" x14ac:dyDescent="0.3">
      <c r="A31" s="17" t="s">
        <v>29</v>
      </c>
      <c r="B31" s="13">
        <v>58</v>
      </c>
      <c r="C31" s="10">
        <f>7+47</f>
        <v>54</v>
      </c>
      <c r="D31" s="57">
        <v>48</v>
      </c>
      <c r="E31" s="32">
        <f>4+42</f>
        <v>46</v>
      </c>
      <c r="F31" s="12"/>
      <c r="G31" s="9">
        <f t="shared" si="0"/>
        <v>6</v>
      </c>
      <c r="H31" s="19" t="s">
        <v>95</v>
      </c>
      <c r="J31" s="43">
        <f t="shared" si="1"/>
        <v>4</v>
      </c>
      <c r="K31" s="43">
        <f t="shared" si="2"/>
        <v>2</v>
      </c>
      <c r="M31" s="43" t="s">
        <v>76</v>
      </c>
      <c r="N31" s="43">
        <v>93</v>
      </c>
      <c r="O31" s="43">
        <v>20</v>
      </c>
      <c r="P31" s="43">
        <v>51</v>
      </c>
      <c r="Q31" s="43">
        <v>22</v>
      </c>
      <c r="R31" s="43">
        <v>4</v>
      </c>
    </row>
    <row r="32" spans="1:19" ht="16.5" thickBot="1" x14ac:dyDescent="0.3">
      <c r="A32" s="15" t="s">
        <v>30</v>
      </c>
      <c r="B32" s="13">
        <v>132</v>
      </c>
      <c r="C32" s="10">
        <v>125</v>
      </c>
      <c r="D32" s="57">
        <v>81</v>
      </c>
      <c r="E32" s="2">
        <v>81</v>
      </c>
      <c r="F32" s="3"/>
      <c r="G32" s="4">
        <f t="shared" si="0"/>
        <v>7</v>
      </c>
      <c r="H32" s="76" t="s">
        <v>119</v>
      </c>
      <c r="J32" s="36">
        <f t="shared" si="1"/>
        <v>7</v>
      </c>
      <c r="K32" s="36">
        <f t="shared" si="2"/>
        <v>0</v>
      </c>
      <c r="M32" s="37" t="s">
        <v>82</v>
      </c>
      <c r="N32" s="37">
        <v>9</v>
      </c>
      <c r="O32" s="37"/>
      <c r="P32" s="37">
        <v>7</v>
      </c>
      <c r="Q32" s="37">
        <v>2</v>
      </c>
      <c r="R32" s="37"/>
    </row>
    <row r="33" spans="1:14" s="67" customFormat="1" ht="16.5" hidden="1" thickBot="1" x14ac:dyDescent="0.3">
      <c r="A33" s="60" t="s">
        <v>31</v>
      </c>
      <c r="B33" s="61">
        <v>76</v>
      </c>
      <c r="C33" s="62">
        <f>69+7</f>
        <v>76</v>
      </c>
      <c r="D33" s="63">
        <v>43</v>
      </c>
      <c r="E33" s="62">
        <f>1+42</f>
        <v>43</v>
      </c>
      <c r="F33" s="64"/>
      <c r="G33" s="65">
        <f t="shared" si="0"/>
        <v>0</v>
      </c>
      <c r="H33" s="66"/>
      <c r="J33" s="68">
        <f t="shared" si="1"/>
        <v>0</v>
      </c>
      <c r="K33" s="68">
        <f t="shared" si="2"/>
        <v>0</v>
      </c>
      <c r="N33" s="67">
        <f>N31+N32</f>
        <v>102</v>
      </c>
    </row>
    <row r="34" spans="1:14" s="11" customFormat="1" ht="30.75" thickBot="1" x14ac:dyDescent="0.3">
      <c r="A34" s="17" t="s">
        <v>32</v>
      </c>
      <c r="B34" s="13">
        <v>142</v>
      </c>
      <c r="C34" s="10">
        <f>1+111+23</f>
        <v>135</v>
      </c>
      <c r="D34" s="57">
        <v>49</v>
      </c>
      <c r="E34" s="10">
        <f>40+1+2</f>
        <v>43</v>
      </c>
      <c r="F34" s="12"/>
      <c r="G34" s="9">
        <f t="shared" si="0"/>
        <v>13</v>
      </c>
      <c r="H34" s="44" t="s">
        <v>103</v>
      </c>
      <c r="J34" s="43">
        <f t="shared" si="1"/>
        <v>7</v>
      </c>
      <c r="K34" s="43">
        <f t="shared" si="2"/>
        <v>6</v>
      </c>
    </row>
    <row r="35" spans="1:14" s="74" customFormat="1" ht="16.5" thickBot="1" x14ac:dyDescent="0.3">
      <c r="A35" s="60" t="s">
        <v>33</v>
      </c>
      <c r="B35" s="69">
        <v>89</v>
      </c>
      <c r="C35" s="70">
        <f>87+2</f>
        <v>89</v>
      </c>
      <c r="D35" s="63">
        <v>53</v>
      </c>
      <c r="E35" s="70">
        <f>1+52</f>
        <v>53</v>
      </c>
      <c r="F35" s="71"/>
      <c r="G35" s="72">
        <f t="shared" si="0"/>
        <v>0</v>
      </c>
      <c r="H35" s="66"/>
      <c r="J35" s="75">
        <f t="shared" si="1"/>
        <v>0</v>
      </c>
      <c r="K35" s="75">
        <f t="shared" si="2"/>
        <v>0</v>
      </c>
    </row>
    <row r="36" spans="1:14" s="93" customFormat="1" ht="16.5" thickBot="1" x14ac:dyDescent="0.3">
      <c r="A36" s="99" t="s">
        <v>34</v>
      </c>
      <c r="B36" s="33">
        <v>94</v>
      </c>
      <c r="C36" s="32">
        <f>7+87</f>
        <v>94</v>
      </c>
      <c r="D36" s="57">
        <v>40</v>
      </c>
      <c r="E36" s="32">
        <f>34+2</f>
        <v>36</v>
      </c>
      <c r="F36" s="90"/>
      <c r="G36" s="91">
        <f t="shared" si="0"/>
        <v>4</v>
      </c>
      <c r="H36" s="44" t="s">
        <v>89</v>
      </c>
      <c r="J36" s="43">
        <f t="shared" si="1"/>
        <v>0</v>
      </c>
      <c r="K36" s="43">
        <f t="shared" si="2"/>
        <v>4</v>
      </c>
    </row>
    <row r="37" spans="1:14" s="11" customFormat="1" ht="16.5" thickBot="1" x14ac:dyDescent="0.3">
      <c r="A37" s="17" t="s">
        <v>35</v>
      </c>
      <c r="B37" s="13">
        <v>52</v>
      </c>
      <c r="C37" s="10">
        <f>17+33+1</f>
        <v>51</v>
      </c>
      <c r="D37" s="57">
        <v>26</v>
      </c>
      <c r="E37" s="10">
        <f>2+21</f>
        <v>23</v>
      </c>
      <c r="F37" s="12"/>
      <c r="G37" s="9">
        <f t="shared" si="0"/>
        <v>4</v>
      </c>
      <c r="H37" s="19" t="s">
        <v>87</v>
      </c>
      <c r="J37" s="43">
        <f t="shared" si="1"/>
        <v>1</v>
      </c>
      <c r="K37" s="43">
        <f t="shared" si="2"/>
        <v>3</v>
      </c>
    </row>
    <row r="38" spans="1:14" s="74" customFormat="1" ht="16.5" thickBot="1" x14ac:dyDescent="0.3">
      <c r="A38" s="60" t="s">
        <v>36</v>
      </c>
      <c r="B38" s="69">
        <v>68</v>
      </c>
      <c r="C38" s="70">
        <f>14+51</f>
        <v>65</v>
      </c>
      <c r="D38" s="63">
        <v>20</v>
      </c>
      <c r="E38" s="70">
        <f>2+18</f>
        <v>20</v>
      </c>
      <c r="F38" s="71"/>
      <c r="G38" s="72">
        <f t="shared" si="0"/>
        <v>3</v>
      </c>
      <c r="H38" s="73" t="s">
        <v>111</v>
      </c>
      <c r="J38" s="75">
        <f t="shared" si="1"/>
        <v>3</v>
      </c>
      <c r="K38" s="75">
        <f t="shared" si="2"/>
        <v>0</v>
      </c>
    </row>
    <row r="39" spans="1:14" ht="16.5" hidden="1" thickBot="1" x14ac:dyDescent="0.3">
      <c r="A39" s="15" t="s">
        <v>37</v>
      </c>
      <c r="B39" s="13">
        <v>52</v>
      </c>
      <c r="C39" s="10">
        <f>41+11</f>
        <v>52</v>
      </c>
      <c r="D39" s="57">
        <v>20</v>
      </c>
      <c r="E39" s="2">
        <v>20</v>
      </c>
      <c r="F39" s="3"/>
      <c r="G39" s="9">
        <f t="shared" si="0"/>
        <v>0</v>
      </c>
      <c r="H39" s="18"/>
      <c r="J39" s="36">
        <f t="shared" si="1"/>
        <v>0</v>
      </c>
      <c r="K39" s="36">
        <f t="shared" si="2"/>
        <v>0</v>
      </c>
    </row>
    <row r="40" spans="1:14" s="11" customFormat="1" ht="16.5" thickBot="1" x14ac:dyDescent="0.3">
      <c r="A40" s="17" t="s">
        <v>38</v>
      </c>
      <c r="B40" s="13">
        <v>89</v>
      </c>
      <c r="C40" s="10">
        <f>5+83</f>
        <v>88</v>
      </c>
      <c r="D40" s="57">
        <v>57</v>
      </c>
      <c r="E40" s="10">
        <f>15+42</f>
        <v>57</v>
      </c>
      <c r="F40" s="12"/>
      <c r="G40" s="9">
        <f t="shared" si="0"/>
        <v>1</v>
      </c>
      <c r="H40" s="19" t="s">
        <v>85</v>
      </c>
      <c r="J40" s="43">
        <f t="shared" si="1"/>
        <v>1</v>
      </c>
      <c r="K40" s="43">
        <f t="shared" si="2"/>
        <v>0</v>
      </c>
    </row>
    <row r="41" spans="1:14" s="11" customFormat="1" ht="16.5" thickBot="1" x14ac:dyDescent="0.3">
      <c r="A41" s="17" t="s">
        <v>39</v>
      </c>
      <c r="B41" s="13">
        <v>65</v>
      </c>
      <c r="C41" s="10">
        <f>14+42</f>
        <v>56</v>
      </c>
      <c r="D41" s="57">
        <v>18</v>
      </c>
      <c r="E41" s="10">
        <v>16</v>
      </c>
      <c r="F41" s="12"/>
      <c r="G41" s="9">
        <f t="shared" si="0"/>
        <v>11</v>
      </c>
      <c r="H41" s="19" t="s">
        <v>92</v>
      </c>
      <c r="J41" s="43">
        <f t="shared" si="1"/>
        <v>9</v>
      </c>
      <c r="K41" s="43">
        <f t="shared" si="2"/>
        <v>2</v>
      </c>
    </row>
    <row r="42" spans="1:14" ht="16.5" thickBot="1" x14ac:dyDescent="0.3">
      <c r="A42" s="20" t="s">
        <v>40</v>
      </c>
      <c r="B42" s="21">
        <v>83</v>
      </c>
      <c r="C42" s="22">
        <f>4+79</f>
        <v>83</v>
      </c>
      <c r="D42" s="58">
        <v>43</v>
      </c>
      <c r="E42" s="22">
        <v>40</v>
      </c>
      <c r="F42" s="23"/>
      <c r="G42" s="24">
        <f t="shared" si="0"/>
        <v>3</v>
      </c>
      <c r="H42" s="25" t="s">
        <v>118</v>
      </c>
      <c r="J42" s="36">
        <f t="shared" si="1"/>
        <v>0</v>
      </c>
      <c r="K42" s="36">
        <f t="shared" si="2"/>
        <v>3</v>
      </c>
    </row>
    <row r="43" spans="1:14" s="11" customFormat="1" ht="30.75" thickBot="1" x14ac:dyDescent="0.3">
      <c r="A43" s="17" t="s">
        <v>41</v>
      </c>
      <c r="B43" s="13">
        <v>76</v>
      </c>
      <c r="C43" s="10">
        <f>17+47</f>
        <v>64</v>
      </c>
      <c r="D43" s="57">
        <v>22</v>
      </c>
      <c r="E43" s="32">
        <v>20</v>
      </c>
      <c r="F43" s="12"/>
      <c r="G43" s="9">
        <f t="shared" si="0"/>
        <v>14</v>
      </c>
      <c r="H43" s="19" t="s">
        <v>106</v>
      </c>
      <c r="J43" s="43">
        <f t="shared" si="1"/>
        <v>12</v>
      </c>
      <c r="K43" s="43">
        <f t="shared" si="2"/>
        <v>2</v>
      </c>
    </row>
    <row r="44" spans="1:14" s="93" customFormat="1" ht="16.5" thickBot="1" x14ac:dyDescent="0.3">
      <c r="A44" s="17" t="s">
        <v>42</v>
      </c>
      <c r="B44" s="33">
        <v>60</v>
      </c>
      <c r="C44" s="32">
        <f>23+24</f>
        <v>47</v>
      </c>
      <c r="D44" s="57">
        <v>26</v>
      </c>
      <c r="E44" s="32">
        <v>24</v>
      </c>
      <c r="F44" s="90"/>
      <c r="G44" s="91">
        <f t="shared" si="0"/>
        <v>15</v>
      </c>
      <c r="H44" s="44" t="s">
        <v>109</v>
      </c>
      <c r="J44" s="43">
        <f t="shared" si="1"/>
        <v>13</v>
      </c>
      <c r="K44" s="43">
        <f t="shared" si="2"/>
        <v>2</v>
      </c>
    </row>
    <row r="45" spans="1:14" s="11" customFormat="1" ht="16.5" thickBot="1" x14ac:dyDescent="0.3">
      <c r="A45" s="17" t="s">
        <v>43</v>
      </c>
      <c r="B45" s="13">
        <v>133</v>
      </c>
      <c r="C45" s="10">
        <f>19+108</f>
        <v>127</v>
      </c>
      <c r="D45" s="57">
        <v>76</v>
      </c>
      <c r="E45" s="10">
        <v>72</v>
      </c>
      <c r="F45" s="12"/>
      <c r="G45" s="9">
        <f t="shared" si="0"/>
        <v>10</v>
      </c>
      <c r="H45" s="19" t="s">
        <v>90</v>
      </c>
      <c r="J45" s="43">
        <f t="shared" si="1"/>
        <v>6</v>
      </c>
      <c r="K45" s="43">
        <f t="shared" si="2"/>
        <v>4</v>
      </c>
    </row>
    <row r="46" spans="1:14" s="11" customFormat="1" ht="16.5" hidden="1" thickBot="1" x14ac:dyDescent="0.3">
      <c r="A46" s="17" t="s">
        <v>44</v>
      </c>
      <c r="B46" s="33">
        <v>85</v>
      </c>
      <c r="C46" s="33">
        <v>85</v>
      </c>
      <c r="D46" s="57">
        <v>28</v>
      </c>
      <c r="E46" s="10">
        <v>28</v>
      </c>
      <c r="F46" s="12"/>
      <c r="G46" s="9">
        <f t="shared" si="0"/>
        <v>0</v>
      </c>
      <c r="H46" s="19"/>
      <c r="J46" s="43">
        <f t="shared" si="1"/>
        <v>0</v>
      </c>
      <c r="K46" s="43">
        <f t="shared" si="2"/>
        <v>0</v>
      </c>
    </row>
    <row r="47" spans="1:14" s="74" customFormat="1" ht="16.5" thickBot="1" x14ac:dyDescent="0.3">
      <c r="A47" s="60" t="s">
        <v>45</v>
      </c>
      <c r="B47" s="69">
        <v>72</v>
      </c>
      <c r="C47" s="70">
        <f>6+65</f>
        <v>71</v>
      </c>
      <c r="D47" s="63">
        <v>31</v>
      </c>
      <c r="E47" s="70">
        <f>1+30</f>
        <v>31</v>
      </c>
      <c r="F47" s="71"/>
      <c r="G47" s="72">
        <f t="shared" si="0"/>
        <v>1</v>
      </c>
      <c r="H47" s="73" t="s">
        <v>85</v>
      </c>
      <c r="J47" s="75">
        <f t="shared" si="1"/>
        <v>1</v>
      </c>
      <c r="K47" s="75">
        <f t="shared" si="2"/>
        <v>0</v>
      </c>
    </row>
    <row r="48" spans="1:14" s="11" customFormat="1" ht="16.5" thickBot="1" x14ac:dyDescent="0.3">
      <c r="A48" s="17" t="s">
        <v>46</v>
      </c>
      <c r="B48" s="13">
        <v>84</v>
      </c>
      <c r="C48" s="10">
        <f>74+8</f>
        <v>82</v>
      </c>
      <c r="D48" s="57">
        <v>27</v>
      </c>
      <c r="E48" s="10">
        <f>1+26</f>
        <v>27</v>
      </c>
      <c r="F48" s="12"/>
      <c r="G48" s="9">
        <f t="shared" si="0"/>
        <v>2</v>
      </c>
      <c r="H48" s="19" t="s">
        <v>101</v>
      </c>
      <c r="J48" s="43">
        <f t="shared" si="1"/>
        <v>2</v>
      </c>
      <c r="K48" s="43">
        <f t="shared" si="2"/>
        <v>0</v>
      </c>
    </row>
    <row r="49" spans="1:67" s="11" customFormat="1" ht="16.5" thickBot="1" x14ac:dyDescent="0.3">
      <c r="A49" s="17" t="s">
        <v>47</v>
      </c>
      <c r="B49" s="13">
        <v>54</v>
      </c>
      <c r="C49" s="10">
        <f>6+47</f>
        <v>53</v>
      </c>
      <c r="D49" s="57">
        <v>47</v>
      </c>
      <c r="E49" s="10">
        <f>42+4</f>
        <v>46</v>
      </c>
      <c r="F49" s="12"/>
      <c r="G49" s="9">
        <f t="shared" si="0"/>
        <v>2</v>
      </c>
      <c r="H49" s="19" t="s">
        <v>88</v>
      </c>
      <c r="J49" s="43">
        <f t="shared" si="1"/>
        <v>1</v>
      </c>
      <c r="K49" s="43">
        <f t="shared" si="2"/>
        <v>1</v>
      </c>
    </row>
    <row r="50" spans="1:67" s="74" customFormat="1" ht="30.75" thickBot="1" x14ac:dyDescent="0.3">
      <c r="A50" s="60" t="s">
        <v>48</v>
      </c>
      <c r="B50" s="69">
        <v>56</v>
      </c>
      <c r="C50" s="70">
        <f>8+47</f>
        <v>55</v>
      </c>
      <c r="D50" s="63">
        <v>28</v>
      </c>
      <c r="E50" s="70">
        <f>23+1+1+1</f>
        <v>26</v>
      </c>
      <c r="F50" s="71"/>
      <c r="G50" s="72">
        <f t="shared" si="0"/>
        <v>3</v>
      </c>
      <c r="H50" s="73" t="s">
        <v>112</v>
      </c>
      <c r="J50" s="75">
        <f t="shared" si="1"/>
        <v>1</v>
      </c>
      <c r="K50" s="75">
        <f t="shared" si="2"/>
        <v>2</v>
      </c>
    </row>
    <row r="51" spans="1:67" s="11" customFormat="1" ht="30.75" thickBot="1" x14ac:dyDescent="0.3">
      <c r="A51" s="17" t="s">
        <v>49</v>
      </c>
      <c r="B51" s="13">
        <v>93</v>
      </c>
      <c r="C51" s="10">
        <v>92</v>
      </c>
      <c r="D51" s="57">
        <v>48</v>
      </c>
      <c r="E51" s="10">
        <v>46</v>
      </c>
      <c r="F51" s="12"/>
      <c r="G51" s="9">
        <f t="shared" si="0"/>
        <v>3</v>
      </c>
      <c r="H51" s="19" t="s">
        <v>114</v>
      </c>
      <c r="J51" s="43">
        <f t="shared" si="1"/>
        <v>1</v>
      </c>
      <c r="K51" s="43">
        <f t="shared" si="2"/>
        <v>2</v>
      </c>
    </row>
    <row r="52" spans="1:67" s="74" customFormat="1" ht="16.5" thickBot="1" x14ac:dyDescent="0.3">
      <c r="A52" s="60" t="s">
        <v>50</v>
      </c>
      <c r="B52" s="69">
        <v>61</v>
      </c>
      <c r="C52" s="70">
        <f>9+51</f>
        <v>60</v>
      </c>
      <c r="D52" s="63">
        <v>19</v>
      </c>
      <c r="E52" s="70">
        <f>2+17</f>
        <v>19</v>
      </c>
      <c r="F52" s="71"/>
      <c r="G52" s="72">
        <f t="shared" si="0"/>
        <v>1</v>
      </c>
      <c r="H52" s="73" t="s">
        <v>110</v>
      </c>
      <c r="J52" s="75">
        <f t="shared" si="1"/>
        <v>1</v>
      </c>
      <c r="K52" s="75">
        <f t="shared" si="2"/>
        <v>0</v>
      </c>
    </row>
    <row r="53" spans="1:67" ht="16.5" thickBot="1" x14ac:dyDescent="0.3">
      <c r="A53" s="15" t="s">
        <v>51</v>
      </c>
      <c r="B53" s="13">
        <v>38</v>
      </c>
      <c r="C53" s="10">
        <v>35</v>
      </c>
      <c r="D53" s="57">
        <v>45</v>
      </c>
      <c r="E53" s="2">
        <v>37</v>
      </c>
      <c r="F53" s="3"/>
      <c r="G53" s="4">
        <f t="shared" si="0"/>
        <v>11</v>
      </c>
      <c r="H53" s="19" t="s">
        <v>107</v>
      </c>
      <c r="J53" s="36">
        <f t="shared" si="1"/>
        <v>3</v>
      </c>
      <c r="K53" s="36">
        <f t="shared" si="2"/>
        <v>8</v>
      </c>
    </row>
    <row r="54" spans="1:67" s="11" customFormat="1" ht="16.5" thickBot="1" x14ac:dyDescent="0.3">
      <c r="A54" s="17" t="s">
        <v>52</v>
      </c>
      <c r="B54" s="13">
        <v>85</v>
      </c>
      <c r="C54" s="10">
        <f>9+76</f>
        <v>85</v>
      </c>
      <c r="D54" s="57">
        <v>51</v>
      </c>
      <c r="E54" s="10">
        <f>4+41+6</f>
        <v>51</v>
      </c>
      <c r="F54" s="12"/>
      <c r="G54" s="9">
        <f t="shared" si="0"/>
        <v>0</v>
      </c>
      <c r="H54" s="19" t="s">
        <v>72</v>
      </c>
      <c r="J54" s="43">
        <f t="shared" si="1"/>
        <v>0</v>
      </c>
      <c r="K54" s="43">
        <f t="shared" si="2"/>
        <v>0</v>
      </c>
    </row>
    <row r="55" spans="1:67" s="11" customFormat="1" ht="16.5" hidden="1" thickBot="1" x14ac:dyDescent="0.3">
      <c r="A55" s="17" t="s">
        <v>53</v>
      </c>
      <c r="B55" s="13">
        <v>7</v>
      </c>
      <c r="C55" s="10">
        <v>7</v>
      </c>
      <c r="D55" s="57"/>
      <c r="E55" s="10"/>
      <c r="F55" s="12">
        <v>16</v>
      </c>
      <c r="G55" s="9">
        <f t="shared" si="0"/>
        <v>0</v>
      </c>
      <c r="H55" s="19" t="s">
        <v>72</v>
      </c>
      <c r="J55" s="43">
        <f t="shared" si="1"/>
        <v>0</v>
      </c>
      <c r="K55" s="43">
        <f t="shared" si="2"/>
        <v>0</v>
      </c>
    </row>
    <row r="56" spans="1:67" s="11" customFormat="1" ht="16.5" hidden="1" thickBot="1" x14ac:dyDescent="0.3">
      <c r="A56" s="17" t="s">
        <v>54</v>
      </c>
      <c r="B56" s="13">
        <v>97</v>
      </c>
      <c r="C56" s="10">
        <f>7+90</f>
        <v>97</v>
      </c>
      <c r="D56" s="57">
        <v>54</v>
      </c>
      <c r="E56" s="10">
        <v>54</v>
      </c>
      <c r="F56" s="12"/>
      <c r="G56" s="9">
        <f t="shared" si="0"/>
        <v>0</v>
      </c>
      <c r="H56" s="19"/>
      <c r="J56" s="43">
        <f t="shared" si="1"/>
        <v>0</v>
      </c>
      <c r="K56" s="43">
        <f t="shared" si="2"/>
        <v>0</v>
      </c>
    </row>
    <row r="57" spans="1:67" s="84" customFormat="1" ht="16.5" thickBot="1" x14ac:dyDescent="0.3">
      <c r="A57" s="77" t="s">
        <v>55</v>
      </c>
      <c r="B57" s="78">
        <v>77</v>
      </c>
      <c r="C57" s="79">
        <f>13+66</f>
        <v>79</v>
      </c>
      <c r="D57" s="80">
        <v>54</v>
      </c>
      <c r="E57" s="79">
        <v>51</v>
      </c>
      <c r="F57" s="81"/>
      <c r="G57" s="82">
        <f t="shared" si="0"/>
        <v>1</v>
      </c>
      <c r="H57" s="83" t="s">
        <v>72</v>
      </c>
      <c r="J57" s="85">
        <f t="shared" si="1"/>
        <v>-2</v>
      </c>
      <c r="K57" s="85">
        <f t="shared" si="2"/>
        <v>3</v>
      </c>
    </row>
    <row r="58" spans="1:67" s="11" customFormat="1" ht="16.5" thickBot="1" x14ac:dyDescent="0.3">
      <c r="A58" s="17" t="s">
        <v>56</v>
      </c>
      <c r="B58" s="13">
        <v>98</v>
      </c>
      <c r="C58" s="10">
        <f>7+86</f>
        <v>93</v>
      </c>
      <c r="D58" s="57">
        <f>6+102</f>
        <v>108</v>
      </c>
      <c r="E58" s="10">
        <f>3+105</f>
        <v>108</v>
      </c>
      <c r="F58" s="12"/>
      <c r="G58" s="9">
        <f t="shared" si="0"/>
        <v>5</v>
      </c>
      <c r="H58" s="44" t="s">
        <v>104</v>
      </c>
      <c r="J58" s="43">
        <f t="shared" si="1"/>
        <v>5</v>
      </c>
      <c r="K58" s="43">
        <f t="shared" si="2"/>
        <v>0</v>
      </c>
    </row>
    <row r="59" spans="1:67" s="74" customFormat="1" ht="16.5" thickBot="1" x14ac:dyDescent="0.3">
      <c r="A59" s="60" t="s">
        <v>57</v>
      </c>
      <c r="B59" s="69">
        <v>89</v>
      </c>
      <c r="C59" s="70">
        <f>81+1+6</f>
        <v>88</v>
      </c>
      <c r="D59" s="63">
        <v>30</v>
      </c>
      <c r="E59" s="70">
        <f>1+22+3+3</f>
        <v>29</v>
      </c>
      <c r="F59" s="71"/>
      <c r="G59" s="72">
        <f t="shared" si="0"/>
        <v>2</v>
      </c>
      <c r="H59" s="73" t="s">
        <v>72</v>
      </c>
      <c r="J59" s="75">
        <f t="shared" si="1"/>
        <v>1</v>
      </c>
      <c r="K59" s="75">
        <f t="shared" si="2"/>
        <v>1</v>
      </c>
    </row>
    <row r="60" spans="1:67" s="11" customFormat="1" ht="16.5" thickBot="1" x14ac:dyDescent="0.3">
      <c r="A60" s="17" t="s">
        <v>58</v>
      </c>
      <c r="B60" s="13">
        <v>97</v>
      </c>
      <c r="C60" s="10">
        <f>11+85</f>
        <v>96</v>
      </c>
      <c r="D60" s="57">
        <v>52</v>
      </c>
      <c r="E60" s="10">
        <f>1+46</f>
        <v>47</v>
      </c>
      <c r="F60" s="12"/>
      <c r="G60" s="9">
        <f t="shared" si="0"/>
        <v>6</v>
      </c>
      <c r="H60" s="19" t="s">
        <v>72</v>
      </c>
      <c r="J60" s="43">
        <f t="shared" si="1"/>
        <v>1</v>
      </c>
      <c r="K60" s="43">
        <f t="shared" si="2"/>
        <v>5</v>
      </c>
    </row>
    <row r="61" spans="1:67" ht="16.5" hidden="1" thickBot="1" x14ac:dyDescent="0.3">
      <c r="A61" s="15" t="s">
        <v>59</v>
      </c>
      <c r="B61" s="13">
        <v>87</v>
      </c>
      <c r="C61" s="2">
        <f>5+82</f>
        <v>87</v>
      </c>
      <c r="D61" s="56"/>
      <c r="E61" s="2"/>
      <c r="F61" s="3"/>
      <c r="G61" s="4">
        <f t="shared" si="0"/>
        <v>0</v>
      </c>
      <c r="H61" s="18"/>
      <c r="I61" s="11"/>
      <c r="J61" s="36">
        <f t="shared" si="1"/>
        <v>0</v>
      </c>
      <c r="K61" s="36">
        <f t="shared" si="2"/>
        <v>0</v>
      </c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</row>
    <row r="62" spans="1:67" ht="16.5" thickBot="1" x14ac:dyDescent="0.3">
      <c r="A62" s="15" t="s">
        <v>60</v>
      </c>
      <c r="B62" s="13">
        <v>94</v>
      </c>
      <c r="C62" s="2">
        <v>93</v>
      </c>
      <c r="D62" s="56"/>
      <c r="E62" s="2"/>
      <c r="F62" s="3"/>
      <c r="G62" s="4">
        <f t="shared" si="0"/>
        <v>1</v>
      </c>
      <c r="H62" s="18" t="s">
        <v>108</v>
      </c>
      <c r="I62" s="11"/>
      <c r="J62" s="36">
        <f t="shared" si="1"/>
        <v>1</v>
      </c>
      <c r="K62" s="36">
        <f t="shared" si="2"/>
        <v>0</v>
      </c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</row>
    <row r="63" spans="1:67" s="11" customFormat="1" ht="30.75" customHeight="1" thickBot="1" x14ac:dyDescent="0.3">
      <c r="A63" s="17" t="s">
        <v>61</v>
      </c>
      <c r="B63" s="13">
        <v>12</v>
      </c>
      <c r="C63" s="10">
        <v>12</v>
      </c>
      <c r="D63" s="57">
        <v>10</v>
      </c>
      <c r="E63" s="10">
        <v>10</v>
      </c>
      <c r="F63" s="12"/>
      <c r="G63" s="9">
        <f t="shared" si="0"/>
        <v>0</v>
      </c>
      <c r="H63" s="19" t="s">
        <v>72</v>
      </c>
      <c r="J63" s="43">
        <f t="shared" si="1"/>
        <v>0</v>
      </c>
      <c r="K63" s="43">
        <f t="shared" si="2"/>
        <v>0</v>
      </c>
    </row>
    <row r="64" spans="1:67" s="11" customFormat="1" ht="32.25" hidden="1" thickBot="1" x14ac:dyDescent="0.3">
      <c r="A64" s="17" t="s">
        <v>62</v>
      </c>
      <c r="B64" s="13">
        <v>13</v>
      </c>
      <c r="C64" s="10">
        <f>1+12</f>
        <v>13</v>
      </c>
      <c r="D64" s="57">
        <v>9</v>
      </c>
      <c r="E64" s="10">
        <v>9</v>
      </c>
      <c r="F64" s="12"/>
      <c r="G64" s="9">
        <f t="shared" si="0"/>
        <v>0</v>
      </c>
      <c r="H64" s="19" t="s">
        <v>72</v>
      </c>
      <c r="J64" s="43">
        <f t="shared" si="1"/>
        <v>0</v>
      </c>
      <c r="K64" s="43">
        <f t="shared" si="2"/>
        <v>0</v>
      </c>
    </row>
    <row r="65" spans="1:11" s="11" customFormat="1" ht="16.5" thickBot="1" x14ac:dyDescent="0.3">
      <c r="A65" s="17" t="s">
        <v>63</v>
      </c>
      <c r="B65" s="86">
        <v>45</v>
      </c>
      <c r="C65" s="87">
        <f>14+30</f>
        <v>44</v>
      </c>
      <c r="D65" s="88">
        <v>21</v>
      </c>
      <c r="E65" s="87">
        <v>18</v>
      </c>
      <c r="F65" s="12"/>
      <c r="G65" s="9">
        <f t="shared" si="0"/>
        <v>4</v>
      </c>
      <c r="H65" s="89" t="s">
        <v>72</v>
      </c>
      <c r="J65" s="43">
        <f t="shared" si="1"/>
        <v>1</v>
      </c>
      <c r="K65" s="43">
        <f t="shared" si="2"/>
        <v>3</v>
      </c>
    </row>
    <row r="66" spans="1:11" hidden="1" x14ac:dyDescent="0.25">
      <c r="B66">
        <f>SUM(B2:B65)</f>
        <v>4329</v>
      </c>
      <c r="C66">
        <f t="shared" ref="C66:F66" si="3">SUM(C2:C65)</f>
        <v>4178</v>
      </c>
      <c r="D66" s="59">
        <f>SUM(D2:D65)</f>
        <v>2156</v>
      </c>
      <c r="E66">
        <f t="shared" si="3"/>
        <v>2067</v>
      </c>
      <c r="F66">
        <f t="shared" si="3"/>
        <v>73</v>
      </c>
      <c r="G66" s="4">
        <f>(B66+D66)-(C66+E66)</f>
        <v>240</v>
      </c>
    </row>
    <row r="67" spans="1:11" x14ac:dyDescent="0.25">
      <c r="C67">
        <f>B66-C66</f>
        <v>151</v>
      </c>
      <c r="E67">
        <f>D66-E66</f>
        <v>89</v>
      </c>
    </row>
  </sheetData>
  <autoFilter ref="A1:BO67">
    <filterColumn colId="6">
      <filters blank="1">
        <filter val="1"/>
        <filter val="10"/>
        <filter val="11"/>
        <filter val="12"/>
        <filter val="13"/>
        <filter val="14"/>
        <filter val="15"/>
        <filter val="18"/>
        <filter val="2"/>
        <filter val="3"/>
        <filter val="4"/>
        <filter val="5"/>
        <filter val="6"/>
        <filter val="7"/>
        <filter val="8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7"/>
  <sheetViews>
    <sheetView tabSelected="1" workbookViewId="0">
      <selection activeCell="E66" sqref="E66"/>
    </sheetView>
  </sheetViews>
  <sheetFormatPr defaultRowHeight="15" x14ac:dyDescent="0.25"/>
  <cols>
    <col min="1" max="1" width="16" style="16" customWidth="1"/>
    <col min="2" max="2" width="8.28515625" customWidth="1"/>
    <col min="3" max="3" width="7.42578125" customWidth="1"/>
    <col min="4" max="4" width="9" style="59" customWidth="1"/>
    <col min="5" max="5" width="7.7109375" customWidth="1"/>
    <col min="6" max="6" width="21.85546875" customWidth="1"/>
    <col min="8" max="8" width="46.85546875" customWidth="1"/>
    <col min="13" max="13" width="12.140625" customWidth="1"/>
  </cols>
  <sheetData>
    <row r="1" spans="1:11" ht="90.75" thickBot="1" x14ac:dyDescent="0.3">
      <c r="A1" s="14" t="s">
        <v>64</v>
      </c>
      <c r="B1" s="5" t="s">
        <v>65</v>
      </c>
      <c r="C1" s="6" t="s">
        <v>67</v>
      </c>
      <c r="D1" s="53" t="s">
        <v>66</v>
      </c>
      <c r="E1" s="6" t="s">
        <v>68</v>
      </c>
      <c r="F1" s="7" t="s">
        <v>69</v>
      </c>
      <c r="G1" s="8" t="s">
        <v>70</v>
      </c>
      <c r="H1" s="8" t="s">
        <v>71</v>
      </c>
      <c r="J1" s="35" t="s">
        <v>73</v>
      </c>
      <c r="K1" s="35" t="s">
        <v>74</v>
      </c>
    </row>
    <row r="2" spans="1:11" s="11" customFormat="1" ht="16.5" thickBot="1" x14ac:dyDescent="0.3">
      <c r="A2" s="17" t="s">
        <v>0</v>
      </c>
      <c r="B2" s="38">
        <v>59</v>
      </c>
      <c r="C2" s="39">
        <f>53+6</f>
        <v>59</v>
      </c>
      <c r="D2" s="54">
        <v>33</v>
      </c>
      <c r="E2" s="39">
        <f>5+27</f>
        <v>32</v>
      </c>
      <c r="F2" s="40"/>
      <c r="G2" s="41">
        <f>(B2+D2)-(C2+E2)</f>
        <v>1</v>
      </c>
      <c r="H2" s="42" t="s">
        <v>116</v>
      </c>
      <c r="J2" s="43">
        <f>B2-C2</f>
        <v>0</v>
      </c>
      <c r="K2" s="43">
        <f>D2-E2</f>
        <v>1</v>
      </c>
    </row>
    <row r="3" spans="1:11" s="107" customFormat="1" ht="16.5" thickBot="1" x14ac:dyDescent="0.3">
      <c r="A3" s="100" t="s">
        <v>1</v>
      </c>
      <c r="B3" s="101">
        <v>64</v>
      </c>
      <c r="C3" s="102">
        <f>17+46</f>
        <v>63</v>
      </c>
      <c r="D3" s="103">
        <v>30</v>
      </c>
      <c r="E3" s="102">
        <f>1+29</f>
        <v>30</v>
      </c>
      <c r="F3" s="104"/>
      <c r="G3" s="105">
        <f t="shared" ref="G3:G65" si="0">(B3+D3)-(C3+E3)</f>
        <v>1</v>
      </c>
      <c r="H3" s="110" t="s">
        <v>110</v>
      </c>
      <c r="J3" s="108">
        <f t="shared" ref="J3:J65" si="1">B3-C3</f>
        <v>1</v>
      </c>
      <c r="K3" s="108">
        <f t="shared" ref="K3:K65" si="2">D3-E3</f>
        <v>0</v>
      </c>
    </row>
    <row r="4" spans="1:11" s="31" customFormat="1" ht="16.5" thickBot="1" x14ac:dyDescent="0.3">
      <c r="A4" s="15" t="s">
        <v>2</v>
      </c>
      <c r="B4" s="27"/>
      <c r="C4" s="28"/>
      <c r="D4" s="56"/>
      <c r="E4" s="28"/>
      <c r="F4" s="29">
        <v>29</v>
      </c>
      <c r="G4" s="30">
        <f t="shared" si="0"/>
        <v>0</v>
      </c>
      <c r="H4" s="26"/>
      <c r="J4" s="36">
        <f t="shared" si="1"/>
        <v>0</v>
      </c>
      <c r="K4" s="36">
        <f t="shared" si="2"/>
        <v>0</v>
      </c>
    </row>
    <row r="5" spans="1:11" s="11" customFormat="1" ht="16.5" thickBot="1" x14ac:dyDescent="0.3">
      <c r="A5" s="17" t="s">
        <v>3</v>
      </c>
      <c r="B5" s="13">
        <v>45</v>
      </c>
      <c r="C5" s="10">
        <f>1+44</f>
        <v>45</v>
      </c>
      <c r="D5" s="57"/>
      <c r="E5" s="10"/>
      <c r="F5" s="12"/>
      <c r="G5" s="9">
        <f t="shared" si="0"/>
        <v>0</v>
      </c>
      <c r="H5" s="19"/>
      <c r="J5" s="43">
        <f t="shared" si="1"/>
        <v>0</v>
      </c>
      <c r="K5" s="43">
        <f t="shared" si="2"/>
        <v>0</v>
      </c>
    </row>
    <row r="6" spans="1:11" s="107" customFormat="1" ht="16.5" thickBot="1" x14ac:dyDescent="0.3">
      <c r="A6" s="100" t="s">
        <v>4</v>
      </c>
      <c r="B6" s="101">
        <v>76</v>
      </c>
      <c r="C6" s="102">
        <f>14+57</f>
        <v>71</v>
      </c>
      <c r="D6" s="103">
        <v>22</v>
      </c>
      <c r="E6" s="102">
        <f>1+21</f>
        <v>22</v>
      </c>
      <c r="F6" s="104"/>
      <c r="G6" s="105">
        <f>(B6+D6)-(C6+E6)</f>
        <v>5</v>
      </c>
      <c r="H6" s="106" t="s">
        <v>126</v>
      </c>
      <c r="J6" s="108">
        <f t="shared" si="1"/>
        <v>5</v>
      </c>
      <c r="K6" s="108">
        <f t="shared" si="2"/>
        <v>0</v>
      </c>
    </row>
    <row r="7" spans="1:11" s="11" customFormat="1" ht="16.5" thickBot="1" x14ac:dyDescent="0.3">
      <c r="A7" s="17" t="s">
        <v>5</v>
      </c>
      <c r="B7" s="13"/>
      <c r="C7" s="10"/>
      <c r="D7" s="57"/>
      <c r="E7" s="10"/>
      <c r="F7" s="12">
        <v>27</v>
      </c>
      <c r="G7" s="9">
        <f t="shared" si="0"/>
        <v>0</v>
      </c>
      <c r="H7" s="19"/>
      <c r="J7" s="43">
        <f t="shared" si="1"/>
        <v>0</v>
      </c>
      <c r="K7" s="43">
        <f t="shared" si="2"/>
        <v>0</v>
      </c>
    </row>
    <row r="8" spans="1:11" s="11" customFormat="1" ht="16.5" thickBot="1" x14ac:dyDescent="0.3">
      <c r="A8" s="17" t="s">
        <v>6</v>
      </c>
      <c r="B8" s="13">
        <v>46</v>
      </c>
      <c r="C8" s="10">
        <v>46</v>
      </c>
      <c r="D8" s="57">
        <v>32</v>
      </c>
      <c r="E8" s="10">
        <f>29+3</f>
        <v>32</v>
      </c>
      <c r="F8" s="12"/>
      <c r="G8" s="9">
        <f t="shared" si="0"/>
        <v>0</v>
      </c>
      <c r="H8" s="19"/>
      <c r="J8" s="43">
        <f t="shared" si="1"/>
        <v>0</v>
      </c>
      <c r="K8" s="43">
        <f t="shared" si="2"/>
        <v>0</v>
      </c>
    </row>
    <row r="9" spans="1:11" s="11" customFormat="1" ht="16.5" thickBot="1" x14ac:dyDescent="0.3">
      <c r="A9" s="17" t="s">
        <v>7</v>
      </c>
      <c r="B9" s="33">
        <v>63</v>
      </c>
      <c r="C9" s="32">
        <f>53+10</f>
        <v>63</v>
      </c>
      <c r="D9" s="57">
        <v>36</v>
      </c>
      <c r="E9" s="10">
        <f>33+1+1+1</f>
        <v>36</v>
      </c>
      <c r="F9" s="12"/>
      <c r="G9" s="9">
        <f>(B9+D9)-(C9+E9)</f>
        <v>0</v>
      </c>
      <c r="H9" s="19" t="s">
        <v>98</v>
      </c>
      <c r="J9" s="43">
        <f t="shared" si="1"/>
        <v>0</v>
      </c>
      <c r="K9" s="43">
        <f t="shared" si="2"/>
        <v>0</v>
      </c>
    </row>
    <row r="10" spans="1:11" ht="16.5" thickBot="1" x14ac:dyDescent="0.3">
      <c r="A10" s="15" t="s">
        <v>8</v>
      </c>
      <c r="B10" s="13">
        <v>6</v>
      </c>
      <c r="C10" s="10">
        <v>6</v>
      </c>
      <c r="D10" s="57"/>
      <c r="E10" s="2"/>
      <c r="F10" s="3">
        <v>1</v>
      </c>
      <c r="G10" s="9">
        <f>(B10+D10)-(C10+E10)</f>
        <v>0</v>
      </c>
      <c r="H10" s="18"/>
      <c r="J10" s="36">
        <f t="shared" si="1"/>
        <v>0</v>
      </c>
      <c r="K10" s="36">
        <f t="shared" si="2"/>
        <v>0</v>
      </c>
    </row>
    <row r="11" spans="1:11" s="11" customFormat="1" ht="16.5" thickBot="1" x14ac:dyDescent="0.3">
      <c r="A11" s="17" t="s">
        <v>9</v>
      </c>
      <c r="B11" s="13">
        <v>42</v>
      </c>
      <c r="C11" s="10">
        <v>42</v>
      </c>
      <c r="D11" s="57"/>
      <c r="E11" s="10"/>
      <c r="F11" s="12"/>
      <c r="G11" s="9">
        <f t="shared" si="0"/>
        <v>0</v>
      </c>
      <c r="H11" s="19"/>
      <c r="J11" s="43">
        <f t="shared" si="1"/>
        <v>0</v>
      </c>
      <c r="K11" s="43">
        <f t="shared" si="2"/>
        <v>0</v>
      </c>
    </row>
    <row r="12" spans="1:11" s="11" customFormat="1" ht="16.5" thickBot="1" x14ac:dyDescent="0.3">
      <c r="A12" s="17" t="s">
        <v>10</v>
      </c>
      <c r="B12" s="13">
        <v>60</v>
      </c>
      <c r="C12" s="10">
        <f>11+47</f>
        <v>58</v>
      </c>
      <c r="D12" s="57">
        <v>25</v>
      </c>
      <c r="E12" s="10">
        <f>3+21</f>
        <v>24</v>
      </c>
      <c r="F12" s="12"/>
      <c r="G12" s="9">
        <f t="shared" si="0"/>
        <v>3</v>
      </c>
      <c r="H12" s="19" t="s">
        <v>120</v>
      </c>
      <c r="J12" s="43">
        <f t="shared" si="1"/>
        <v>2</v>
      </c>
      <c r="K12" s="43">
        <f t="shared" si="2"/>
        <v>1</v>
      </c>
    </row>
    <row r="13" spans="1:11" s="11" customFormat="1" ht="16.5" thickBot="1" x14ac:dyDescent="0.3">
      <c r="A13" s="17" t="s">
        <v>11</v>
      </c>
      <c r="B13" s="13">
        <v>88</v>
      </c>
      <c r="C13" s="10">
        <f>22+58</f>
        <v>80</v>
      </c>
      <c r="D13" s="57">
        <v>56</v>
      </c>
      <c r="E13" s="10">
        <v>56</v>
      </c>
      <c r="F13" s="12"/>
      <c r="G13" s="9">
        <f t="shared" si="0"/>
        <v>8</v>
      </c>
      <c r="H13" s="19" t="s">
        <v>121</v>
      </c>
      <c r="J13" s="43">
        <f t="shared" si="1"/>
        <v>8</v>
      </c>
      <c r="K13" s="43">
        <f t="shared" si="2"/>
        <v>0</v>
      </c>
    </row>
    <row r="14" spans="1:11" s="11" customFormat="1" ht="16.5" thickBot="1" x14ac:dyDescent="0.3">
      <c r="A14" s="17" t="s">
        <v>12</v>
      </c>
      <c r="B14" s="13">
        <v>80</v>
      </c>
      <c r="C14" s="10">
        <v>79</v>
      </c>
      <c r="D14" s="57">
        <v>16</v>
      </c>
      <c r="E14" s="10">
        <v>16</v>
      </c>
      <c r="F14" s="12"/>
      <c r="G14" s="9">
        <f t="shared" si="0"/>
        <v>1</v>
      </c>
      <c r="H14" s="19" t="s">
        <v>110</v>
      </c>
      <c r="J14" s="43">
        <f t="shared" si="1"/>
        <v>1</v>
      </c>
      <c r="K14" s="43">
        <f t="shared" si="2"/>
        <v>0</v>
      </c>
    </row>
    <row r="15" spans="1:11" ht="16.5" thickBot="1" x14ac:dyDescent="0.3">
      <c r="A15" s="15" t="s">
        <v>13</v>
      </c>
      <c r="B15" s="1"/>
      <c r="C15" s="2"/>
      <c r="D15" s="56"/>
      <c r="E15" s="2"/>
      <c r="F15" s="3"/>
      <c r="G15" s="4">
        <f t="shared" si="0"/>
        <v>0</v>
      </c>
      <c r="H15" s="18"/>
      <c r="J15" s="36">
        <f t="shared" si="1"/>
        <v>0</v>
      </c>
      <c r="K15" s="36">
        <f t="shared" si="2"/>
        <v>0</v>
      </c>
    </row>
    <row r="16" spans="1:11" s="93" customFormat="1" ht="45.75" thickBot="1" x14ac:dyDescent="0.3">
      <c r="A16" s="17" t="s">
        <v>14</v>
      </c>
      <c r="B16" s="33">
        <f>72+1</f>
        <v>73</v>
      </c>
      <c r="C16" s="32">
        <f>25+20+12+4+3+6</f>
        <v>70</v>
      </c>
      <c r="D16" s="57">
        <f>1+44</f>
        <v>45</v>
      </c>
      <c r="E16" s="32">
        <v>41</v>
      </c>
      <c r="F16" s="90"/>
      <c r="G16" s="91">
        <f t="shared" si="0"/>
        <v>7</v>
      </c>
      <c r="H16" s="92" t="s">
        <v>97</v>
      </c>
      <c r="J16" s="43">
        <f t="shared" si="1"/>
        <v>3</v>
      </c>
      <c r="K16" s="43">
        <f t="shared" si="2"/>
        <v>4</v>
      </c>
    </row>
    <row r="17" spans="1:19" s="11" customFormat="1" ht="16.5" thickBot="1" x14ac:dyDescent="0.3">
      <c r="A17" s="17" t="s">
        <v>15</v>
      </c>
      <c r="B17" s="13">
        <v>62</v>
      </c>
      <c r="C17" s="10">
        <f>5+57</f>
        <v>62</v>
      </c>
      <c r="D17" s="57">
        <v>46</v>
      </c>
      <c r="E17" s="32">
        <f>45+1</f>
        <v>46</v>
      </c>
      <c r="F17" s="12"/>
      <c r="G17" s="9">
        <f t="shared" si="0"/>
        <v>0</v>
      </c>
      <c r="H17" s="34"/>
      <c r="J17" s="43">
        <f t="shared" si="1"/>
        <v>0</v>
      </c>
      <c r="K17" s="43">
        <f t="shared" si="2"/>
        <v>0</v>
      </c>
    </row>
    <row r="18" spans="1:19" s="31" customFormat="1" ht="16.5" thickBot="1" x14ac:dyDescent="0.3">
      <c r="A18" s="15" t="s">
        <v>16</v>
      </c>
      <c r="B18" s="33">
        <f>1+50</f>
        <v>51</v>
      </c>
      <c r="C18" s="32">
        <f>2+49</f>
        <v>51</v>
      </c>
      <c r="D18" s="57">
        <f>1+38</f>
        <v>39</v>
      </c>
      <c r="E18" s="28">
        <f>5+34</f>
        <v>39</v>
      </c>
      <c r="F18" s="29"/>
      <c r="G18" s="30">
        <f t="shared" si="0"/>
        <v>0</v>
      </c>
      <c r="H18" s="26"/>
      <c r="J18" s="36">
        <f t="shared" si="1"/>
        <v>0</v>
      </c>
      <c r="K18" s="36">
        <f t="shared" si="2"/>
        <v>0</v>
      </c>
    </row>
    <row r="19" spans="1:19" s="11" customFormat="1" ht="16.5" thickBot="1" x14ac:dyDescent="0.3">
      <c r="A19" s="17" t="s">
        <v>17</v>
      </c>
      <c r="B19" s="13">
        <v>51</v>
      </c>
      <c r="C19" s="10">
        <f>47+2</f>
        <v>49</v>
      </c>
      <c r="D19" s="57">
        <v>35</v>
      </c>
      <c r="E19" s="10">
        <f>2+32</f>
        <v>34</v>
      </c>
      <c r="F19" s="12"/>
      <c r="G19" s="9">
        <f t="shared" si="0"/>
        <v>3</v>
      </c>
      <c r="H19" s="94" t="s">
        <v>99</v>
      </c>
      <c r="J19" s="43">
        <f t="shared" si="1"/>
        <v>2</v>
      </c>
      <c r="K19" s="43">
        <f t="shared" si="2"/>
        <v>1</v>
      </c>
    </row>
    <row r="20" spans="1:19" s="116" customFormat="1" ht="30.75" thickBot="1" x14ac:dyDescent="0.3">
      <c r="A20" s="100" t="s">
        <v>18</v>
      </c>
      <c r="B20" s="113">
        <f>48+5</f>
        <v>53</v>
      </c>
      <c r="C20" s="109">
        <v>51</v>
      </c>
      <c r="D20" s="103">
        <v>26</v>
      </c>
      <c r="E20" s="109">
        <f>2+23+1</f>
        <v>26</v>
      </c>
      <c r="F20" s="114"/>
      <c r="G20" s="115">
        <f t="shared" si="0"/>
        <v>2</v>
      </c>
      <c r="H20" s="106" t="s">
        <v>136</v>
      </c>
      <c r="J20" s="108">
        <f t="shared" si="1"/>
        <v>2</v>
      </c>
      <c r="K20" s="108">
        <f t="shared" si="2"/>
        <v>0</v>
      </c>
    </row>
    <row r="21" spans="1:19" s="107" customFormat="1" ht="16.5" thickBot="1" x14ac:dyDescent="0.3">
      <c r="A21" s="100" t="s">
        <v>19</v>
      </c>
      <c r="B21" s="101">
        <v>85</v>
      </c>
      <c r="C21" s="102">
        <f>66+1+11</f>
        <v>78</v>
      </c>
      <c r="D21" s="103">
        <v>46</v>
      </c>
      <c r="E21" s="102">
        <f>40+1+5</f>
        <v>46</v>
      </c>
      <c r="F21" s="104"/>
      <c r="G21" s="105">
        <f t="shared" si="0"/>
        <v>7</v>
      </c>
      <c r="H21" s="110" t="s">
        <v>132</v>
      </c>
      <c r="J21" s="108">
        <f t="shared" si="1"/>
        <v>7</v>
      </c>
      <c r="K21" s="108">
        <f t="shared" si="2"/>
        <v>0</v>
      </c>
      <c r="M21" s="120"/>
      <c r="N21" s="120"/>
    </row>
    <row r="22" spans="1:19" s="93" customFormat="1" ht="16.5" thickBot="1" x14ac:dyDescent="0.3">
      <c r="A22" s="17" t="s">
        <v>20</v>
      </c>
      <c r="B22" s="33">
        <v>104</v>
      </c>
      <c r="C22" s="32">
        <f>23+75</f>
        <v>98</v>
      </c>
      <c r="D22" s="57">
        <v>31</v>
      </c>
      <c r="E22" s="32">
        <f>4+25</f>
        <v>29</v>
      </c>
      <c r="F22" s="90"/>
      <c r="G22" s="91">
        <f t="shared" si="0"/>
        <v>8</v>
      </c>
      <c r="H22" s="44" t="s">
        <v>135</v>
      </c>
      <c r="J22" s="96">
        <f t="shared" si="1"/>
        <v>6</v>
      </c>
      <c r="K22" s="96">
        <f t="shared" si="2"/>
        <v>2</v>
      </c>
    </row>
    <row r="23" spans="1:19" s="11" customFormat="1" ht="16.5" thickBot="1" x14ac:dyDescent="0.3">
      <c r="A23" s="17" t="s">
        <v>21</v>
      </c>
      <c r="B23" s="13">
        <v>107</v>
      </c>
      <c r="C23" s="10">
        <f>81+22</f>
        <v>103</v>
      </c>
      <c r="D23" s="57">
        <v>30</v>
      </c>
      <c r="E23" s="10">
        <f>1+29</f>
        <v>30</v>
      </c>
      <c r="F23" s="12"/>
      <c r="G23" s="9">
        <f t="shared" si="0"/>
        <v>4</v>
      </c>
      <c r="H23" s="19" t="s">
        <v>113</v>
      </c>
      <c r="J23" s="43">
        <f t="shared" si="1"/>
        <v>4</v>
      </c>
      <c r="K23" s="43">
        <f t="shared" si="2"/>
        <v>0</v>
      </c>
    </row>
    <row r="24" spans="1:19" s="11" customFormat="1" ht="16.5" thickBot="1" x14ac:dyDescent="0.3">
      <c r="A24" s="17" t="s">
        <v>22</v>
      </c>
      <c r="B24" s="13">
        <v>48</v>
      </c>
      <c r="C24" s="10">
        <f>11+31+1</f>
        <v>43</v>
      </c>
      <c r="D24" s="57">
        <v>32</v>
      </c>
      <c r="E24" s="10">
        <f>2+24+4</f>
        <v>30</v>
      </c>
      <c r="F24" s="12"/>
      <c r="G24" s="9">
        <f t="shared" si="0"/>
        <v>7</v>
      </c>
      <c r="H24" s="19" t="s">
        <v>115</v>
      </c>
      <c r="J24" s="43">
        <f t="shared" si="1"/>
        <v>5</v>
      </c>
      <c r="K24" s="43">
        <f t="shared" si="2"/>
        <v>2</v>
      </c>
    </row>
    <row r="25" spans="1:19" s="107" customFormat="1" ht="16.5" thickBot="1" x14ac:dyDescent="0.3">
      <c r="A25" s="100" t="s">
        <v>23</v>
      </c>
      <c r="B25" s="101">
        <v>62</v>
      </c>
      <c r="C25" s="102">
        <f>16+45</f>
        <v>61</v>
      </c>
      <c r="D25" s="103">
        <v>23</v>
      </c>
      <c r="E25" s="102">
        <f>3+20</f>
        <v>23</v>
      </c>
      <c r="F25" s="104"/>
      <c r="G25" s="105">
        <f t="shared" si="0"/>
        <v>1</v>
      </c>
      <c r="H25" s="110" t="s">
        <v>134</v>
      </c>
      <c r="J25" s="108">
        <f t="shared" si="1"/>
        <v>1</v>
      </c>
      <c r="K25" s="108">
        <f t="shared" si="2"/>
        <v>0</v>
      </c>
    </row>
    <row r="26" spans="1:19" s="107" customFormat="1" ht="16.5" thickBot="1" x14ac:dyDescent="0.3">
      <c r="A26" s="100" t="s">
        <v>24</v>
      </c>
      <c r="B26" s="101">
        <v>63</v>
      </c>
      <c r="C26" s="102">
        <f>10+48+1</f>
        <v>59</v>
      </c>
      <c r="D26" s="103">
        <v>33</v>
      </c>
      <c r="E26" s="102">
        <f>1+29+3</f>
        <v>33</v>
      </c>
      <c r="F26" s="104"/>
      <c r="G26" s="105">
        <f t="shared" si="0"/>
        <v>4</v>
      </c>
      <c r="H26" s="110" t="s">
        <v>131</v>
      </c>
      <c r="J26" s="108">
        <f t="shared" si="1"/>
        <v>4</v>
      </c>
      <c r="K26" s="108">
        <f t="shared" si="2"/>
        <v>0</v>
      </c>
      <c r="M26" s="108"/>
      <c r="N26" s="108"/>
      <c r="O26" s="108" t="s">
        <v>79</v>
      </c>
      <c r="P26" s="108" t="s">
        <v>77</v>
      </c>
      <c r="Q26" s="108" t="s">
        <v>78</v>
      </c>
      <c r="R26" s="108" t="s">
        <v>80</v>
      </c>
      <c r="S26" s="119" t="s">
        <v>83</v>
      </c>
    </row>
    <row r="27" spans="1:19" s="11" customFormat="1" ht="16.5" thickBot="1" x14ac:dyDescent="0.3">
      <c r="A27" s="17" t="s">
        <v>25</v>
      </c>
      <c r="B27" s="13">
        <v>92</v>
      </c>
      <c r="C27" s="10">
        <f>15+72</f>
        <v>87</v>
      </c>
      <c r="D27" s="57">
        <v>53</v>
      </c>
      <c r="E27" s="10">
        <v>53</v>
      </c>
      <c r="F27" s="12"/>
      <c r="G27" s="9">
        <f t="shared" si="0"/>
        <v>5</v>
      </c>
      <c r="H27" s="19" t="s">
        <v>93</v>
      </c>
      <c r="J27" s="43">
        <f t="shared" si="1"/>
        <v>5</v>
      </c>
      <c r="K27" s="43">
        <f t="shared" si="2"/>
        <v>0</v>
      </c>
      <c r="M27" s="43" t="s">
        <v>81</v>
      </c>
      <c r="N27" s="43">
        <v>12</v>
      </c>
      <c r="O27" s="43"/>
      <c r="P27" s="43">
        <v>2</v>
      </c>
      <c r="Q27" s="43">
        <v>10</v>
      </c>
      <c r="R27" s="43"/>
    </row>
    <row r="28" spans="1:19" s="11" customFormat="1" ht="33" customHeight="1" thickBot="1" x14ac:dyDescent="0.3">
      <c r="A28" s="17" t="s">
        <v>26</v>
      </c>
      <c r="B28" s="13">
        <v>85</v>
      </c>
      <c r="C28" s="10">
        <f>12+68</f>
        <v>80</v>
      </c>
      <c r="D28" s="57">
        <v>102</v>
      </c>
      <c r="E28" s="10">
        <v>93</v>
      </c>
      <c r="F28" s="12"/>
      <c r="G28" s="9">
        <f>(B28+D28)-(C28+E28)</f>
        <v>14</v>
      </c>
      <c r="H28" s="19" t="s">
        <v>137</v>
      </c>
      <c r="J28" s="43">
        <f t="shared" si="1"/>
        <v>5</v>
      </c>
      <c r="K28" s="43">
        <f t="shared" si="2"/>
        <v>9</v>
      </c>
      <c r="M28" s="43" t="s">
        <v>75</v>
      </c>
      <c r="N28" s="43">
        <f>O28+P28+Q28+S28</f>
        <v>73</v>
      </c>
      <c r="O28" s="43">
        <v>9</v>
      </c>
      <c r="P28" s="43">
        <v>15</v>
      </c>
      <c r="Q28" s="43">
        <v>44</v>
      </c>
      <c r="R28" s="43"/>
      <c r="S28" s="97">
        <v>5</v>
      </c>
    </row>
    <row r="29" spans="1:19" s="11" customFormat="1" ht="30.75" thickBot="1" x14ac:dyDescent="0.3">
      <c r="A29" s="17" t="s">
        <v>27</v>
      </c>
      <c r="B29" s="13">
        <v>88</v>
      </c>
      <c r="C29" s="10">
        <f>16+67</f>
        <v>83</v>
      </c>
      <c r="D29" s="57">
        <v>54</v>
      </c>
      <c r="E29" s="10">
        <v>51</v>
      </c>
      <c r="F29" s="12"/>
      <c r="G29" s="9">
        <f t="shared" si="0"/>
        <v>8</v>
      </c>
      <c r="H29" s="19" t="s">
        <v>105</v>
      </c>
      <c r="J29" s="43">
        <f t="shared" si="1"/>
        <v>5</v>
      </c>
      <c r="K29" s="43">
        <f t="shared" si="2"/>
        <v>3</v>
      </c>
      <c r="M29" s="43"/>
      <c r="N29" s="43">
        <f>N27+N28</f>
        <v>85</v>
      </c>
      <c r="O29" s="43"/>
      <c r="P29" s="43"/>
      <c r="Q29" s="43"/>
      <c r="R29" s="43"/>
    </row>
    <row r="30" spans="1:19" s="11" customFormat="1" ht="16.5" thickBot="1" x14ac:dyDescent="0.3">
      <c r="A30" s="17" t="s">
        <v>28</v>
      </c>
      <c r="B30" s="13">
        <v>63</v>
      </c>
      <c r="C30" s="10">
        <f>8+50</f>
        <v>58</v>
      </c>
      <c r="D30" s="57">
        <v>27</v>
      </c>
      <c r="E30" s="10">
        <v>27</v>
      </c>
      <c r="F30" s="12"/>
      <c r="G30" s="9">
        <f t="shared" si="0"/>
        <v>5</v>
      </c>
      <c r="H30" s="19" t="s">
        <v>86</v>
      </c>
      <c r="J30" s="43">
        <f t="shared" si="1"/>
        <v>5</v>
      </c>
      <c r="K30" s="43">
        <f t="shared" si="2"/>
        <v>0</v>
      </c>
      <c r="M30" s="43"/>
      <c r="N30" s="43"/>
      <c r="O30" s="43"/>
      <c r="P30" s="43"/>
      <c r="Q30" s="43"/>
      <c r="R30" s="43"/>
    </row>
    <row r="31" spans="1:19" s="107" customFormat="1" ht="16.5" thickBot="1" x14ac:dyDescent="0.3">
      <c r="A31" s="100" t="s">
        <v>29</v>
      </c>
      <c r="B31" s="101">
        <v>58</v>
      </c>
      <c r="C31" s="102">
        <f>7+47</f>
        <v>54</v>
      </c>
      <c r="D31" s="103">
        <v>48</v>
      </c>
      <c r="E31" s="109">
        <f>4+42+2</f>
        <v>48</v>
      </c>
      <c r="F31" s="104"/>
      <c r="G31" s="105">
        <f t="shared" si="0"/>
        <v>4</v>
      </c>
      <c r="H31" s="110" t="s">
        <v>130</v>
      </c>
      <c r="J31" s="108">
        <f t="shared" si="1"/>
        <v>4</v>
      </c>
      <c r="K31" s="108">
        <f t="shared" si="2"/>
        <v>0</v>
      </c>
      <c r="M31" s="108" t="s">
        <v>76</v>
      </c>
      <c r="N31" s="108">
        <v>93</v>
      </c>
      <c r="O31" s="108">
        <v>20</v>
      </c>
      <c r="P31" s="108">
        <v>51</v>
      </c>
      <c r="Q31" s="108">
        <v>22</v>
      </c>
      <c r="R31" s="108">
        <v>4</v>
      </c>
    </row>
    <row r="32" spans="1:19" s="11" customFormat="1" ht="16.5" thickBot="1" x14ac:dyDescent="0.3">
      <c r="A32" s="17" t="s">
        <v>30</v>
      </c>
      <c r="B32" s="13">
        <v>132</v>
      </c>
      <c r="C32" s="10">
        <v>125</v>
      </c>
      <c r="D32" s="57">
        <v>81</v>
      </c>
      <c r="E32" s="10">
        <v>81</v>
      </c>
      <c r="F32" s="12"/>
      <c r="G32" s="9">
        <f t="shared" si="0"/>
        <v>7</v>
      </c>
      <c r="H32" s="98" t="s">
        <v>119</v>
      </c>
      <c r="J32" s="43">
        <f t="shared" si="1"/>
        <v>7</v>
      </c>
      <c r="K32" s="43">
        <f t="shared" si="2"/>
        <v>0</v>
      </c>
      <c r="M32" s="43" t="s">
        <v>82</v>
      </c>
      <c r="N32" s="43">
        <v>9</v>
      </c>
      <c r="O32" s="43"/>
      <c r="P32" s="43">
        <v>7</v>
      </c>
      <c r="Q32" s="43">
        <v>2</v>
      </c>
      <c r="R32" s="43"/>
    </row>
    <row r="33" spans="1:14" s="93" customFormat="1" ht="16.5" thickBot="1" x14ac:dyDescent="0.3">
      <c r="A33" s="17" t="s">
        <v>31</v>
      </c>
      <c r="B33" s="33">
        <v>76</v>
      </c>
      <c r="C33" s="32">
        <f>69+7</f>
        <v>76</v>
      </c>
      <c r="D33" s="57">
        <v>43</v>
      </c>
      <c r="E33" s="32">
        <f>1+42</f>
        <v>43</v>
      </c>
      <c r="F33" s="90"/>
      <c r="G33" s="91">
        <f t="shared" si="0"/>
        <v>0</v>
      </c>
      <c r="H33" s="44"/>
      <c r="J33" s="96">
        <f t="shared" si="1"/>
        <v>0</v>
      </c>
      <c r="K33" s="96">
        <f t="shared" si="2"/>
        <v>0</v>
      </c>
      <c r="N33" s="93">
        <f>N31+N32</f>
        <v>102</v>
      </c>
    </row>
    <row r="34" spans="1:14" s="11" customFormat="1" ht="16.5" thickBot="1" x14ac:dyDescent="0.3">
      <c r="A34" s="17" t="s">
        <v>32</v>
      </c>
      <c r="B34" s="13">
        <v>142</v>
      </c>
      <c r="C34" s="10">
        <f>1+111+23</f>
        <v>135</v>
      </c>
      <c r="D34" s="57">
        <v>49</v>
      </c>
      <c r="E34" s="10">
        <f>40+1+2</f>
        <v>43</v>
      </c>
      <c r="F34" s="12"/>
      <c r="G34" s="9">
        <f t="shared" si="0"/>
        <v>13</v>
      </c>
      <c r="H34" s="44" t="s">
        <v>138</v>
      </c>
      <c r="J34" s="43">
        <f t="shared" si="1"/>
        <v>7</v>
      </c>
      <c r="K34" s="43">
        <f t="shared" si="2"/>
        <v>6</v>
      </c>
    </row>
    <row r="35" spans="1:14" s="11" customFormat="1" ht="16.5" thickBot="1" x14ac:dyDescent="0.3">
      <c r="A35" s="17" t="s">
        <v>33</v>
      </c>
      <c r="B35" s="13">
        <v>89</v>
      </c>
      <c r="C35" s="10">
        <f>87+2</f>
        <v>89</v>
      </c>
      <c r="D35" s="57">
        <v>53</v>
      </c>
      <c r="E35" s="10">
        <f>1+52</f>
        <v>53</v>
      </c>
      <c r="F35" s="12"/>
      <c r="G35" s="9">
        <f t="shared" si="0"/>
        <v>0</v>
      </c>
      <c r="H35" s="44"/>
      <c r="J35" s="43">
        <f t="shared" si="1"/>
        <v>0</v>
      </c>
      <c r="K35" s="43">
        <f t="shared" si="2"/>
        <v>0</v>
      </c>
    </row>
    <row r="36" spans="1:14" s="116" customFormat="1" ht="16.5" thickBot="1" x14ac:dyDescent="0.3">
      <c r="A36" s="112" t="s">
        <v>34</v>
      </c>
      <c r="B36" s="113">
        <v>94</v>
      </c>
      <c r="C36" s="109">
        <f>7+87</f>
        <v>94</v>
      </c>
      <c r="D36" s="103">
        <v>40</v>
      </c>
      <c r="E36" s="109">
        <f>34+2+4</f>
        <v>40</v>
      </c>
      <c r="F36" s="114"/>
      <c r="G36" s="115">
        <f t="shared" si="0"/>
        <v>0</v>
      </c>
      <c r="H36" s="106"/>
      <c r="J36" s="108">
        <f t="shared" si="1"/>
        <v>0</v>
      </c>
      <c r="K36" s="108">
        <f t="shared" si="2"/>
        <v>0</v>
      </c>
    </row>
    <row r="37" spans="1:14" s="11" customFormat="1" ht="16.5" thickBot="1" x14ac:dyDescent="0.3">
      <c r="A37" s="17" t="s">
        <v>35</v>
      </c>
      <c r="B37" s="13">
        <v>52</v>
      </c>
      <c r="C37" s="10">
        <f>17+33+1</f>
        <v>51</v>
      </c>
      <c r="D37" s="57">
        <v>26</v>
      </c>
      <c r="E37" s="10">
        <f>2+21</f>
        <v>23</v>
      </c>
      <c r="F37" s="12"/>
      <c r="G37" s="9">
        <f t="shared" si="0"/>
        <v>4</v>
      </c>
      <c r="H37" s="19" t="s">
        <v>87</v>
      </c>
      <c r="J37" s="43">
        <f t="shared" si="1"/>
        <v>1</v>
      </c>
      <c r="K37" s="43">
        <f t="shared" si="2"/>
        <v>3</v>
      </c>
    </row>
    <row r="38" spans="1:14" s="11" customFormat="1" ht="16.5" thickBot="1" x14ac:dyDescent="0.3">
      <c r="A38" s="17" t="s">
        <v>36</v>
      </c>
      <c r="B38" s="13">
        <v>68</v>
      </c>
      <c r="C38" s="10">
        <f>14+51</f>
        <v>65</v>
      </c>
      <c r="D38" s="57">
        <v>20</v>
      </c>
      <c r="E38" s="10">
        <f>2+18</f>
        <v>20</v>
      </c>
      <c r="F38" s="12"/>
      <c r="G38" s="9">
        <f t="shared" si="0"/>
        <v>3</v>
      </c>
      <c r="H38" s="19" t="s">
        <v>111</v>
      </c>
      <c r="J38" s="43">
        <f t="shared" si="1"/>
        <v>3</v>
      </c>
      <c r="K38" s="43">
        <f t="shared" si="2"/>
        <v>0</v>
      </c>
    </row>
    <row r="39" spans="1:14" ht="16.5" thickBot="1" x14ac:dyDescent="0.3">
      <c r="A39" s="15" t="s">
        <v>37</v>
      </c>
      <c r="B39" s="13">
        <v>52</v>
      </c>
      <c r="C39" s="10">
        <f>41+11</f>
        <v>52</v>
      </c>
      <c r="D39" s="57">
        <v>20</v>
      </c>
      <c r="E39" s="2">
        <v>20</v>
      </c>
      <c r="F39" s="3"/>
      <c r="G39" s="9">
        <f t="shared" si="0"/>
        <v>0</v>
      </c>
      <c r="H39" s="18"/>
      <c r="J39" s="36">
        <f t="shared" si="1"/>
        <v>0</v>
      </c>
      <c r="K39" s="36">
        <f t="shared" si="2"/>
        <v>0</v>
      </c>
    </row>
    <row r="40" spans="1:14" s="116" customFormat="1" ht="16.5" thickBot="1" x14ac:dyDescent="0.3">
      <c r="A40" s="100" t="s">
        <v>38</v>
      </c>
      <c r="B40" s="113">
        <v>89</v>
      </c>
      <c r="C40" s="109">
        <f>5+83</f>
        <v>88</v>
      </c>
      <c r="D40" s="103">
        <f>1+57</f>
        <v>58</v>
      </c>
      <c r="E40" s="117">
        <f>15+42+1</f>
        <v>58</v>
      </c>
      <c r="F40" s="114"/>
      <c r="G40" s="115">
        <f t="shared" si="0"/>
        <v>1</v>
      </c>
      <c r="H40" s="106" t="s">
        <v>128</v>
      </c>
      <c r="J40" s="118">
        <f t="shared" si="1"/>
        <v>1</v>
      </c>
      <c r="K40" s="118">
        <f t="shared" si="2"/>
        <v>0</v>
      </c>
    </row>
    <row r="41" spans="1:14" s="11" customFormat="1" ht="16.5" thickBot="1" x14ac:dyDescent="0.3">
      <c r="A41" s="17" t="s">
        <v>39</v>
      </c>
      <c r="B41" s="13">
        <v>65</v>
      </c>
      <c r="C41" s="10">
        <f>14+42</f>
        <v>56</v>
      </c>
      <c r="D41" s="57">
        <v>18</v>
      </c>
      <c r="E41" s="10">
        <v>16</v>
      </c>
      <c r="F41" s="12"/>
      <c r="G41" s="9">
        <f t="shared" si="0"/>
        <v>11</v>
      </c>
      <c r="H41" s="19" t="s">
        <v>92</v>
      </c>
      <c r="J41" s="43">
        <f t="shared" si="1"/>
        <v>9</v>
      </c>
      <c r="K41" s="43">
        <f t="shared" si="2"/>
        <v>2</v>
      </c>
    </row>
    <row r="42" spans="1:14" s="11" customFormat="1" ht="16.5" thickBot="1" x14ac:dyDescent="0.3">
      <c r="A42" s="17" t="s">
        <v>40</v>
      </c>
      <c r="B42" s="13">
        <v>83</v>
      </c>
      <c r="C42" s="10">
        <f>4+79</f>
        <v>83</v>
      </c>
      <c r="D42" s="57">
        <v>43</v>
      </c>
      <c r="E42" s="10">
        <v>40</v>
      </c>
      <c r="F42" s="12"/>
      <c r="G42" s="9">
        <f t="shared" si="0"/>
        <v>3</v>
      </c>
      <c r="H42" s="19" t="s">
        <v>118</v>
      </c>
      <c r="J42" s="43">
        <f t="shared" si="1"/>
        <v>0</v>
      </c>
      <c r="K42" s="43">
        <f t="shared" si="2"/>
        <v>3</v>
      </c>
    </row>
    <row r="43" spans="1:14" s="107" customFormat="1" ht="16.5" thickBot="1" x14ac:dyDescent="0.3">
      <c r="A43" s="100" t="s">
        <v>41</v>
      </c>
      <c r="B43" s="101">
        <v>76</v>
      </c>
      <c r="C43" s="102">
        <f>17+47</f>
        <v>64</v>
      </c>
      <c r="D43" s="103">
        <v>22</v>
      </c>
      <c r="E43" s="109">
        <f>2+20</f>
        <v>22</v>
      </c>
      <c r="F43" s="104"/>
      <c r="G43" s="105">
        <f t="shared" si="0"/>
        <v>12</v>
      </c>
      <c r="H43" s="110" t="s">
        <v>127</v>
      </c>
      <c r="J43" s="108">
        <f t="shared" si="1"/>
        <v>12</v>
      </c>
      <c r="K43" s="108">
        <f t="shared" si="2"/>
        <v>0</v>
      </c>
    </row>
    <row r="44" spans="1:14" s="93" customFormat="1" ht="16.5" thickBot="1" x14ac:dyDescent="0.3">
      <c r="A44" s="17" t="s">
        <v>42</v>
      </c>
      <c r="B44" s="33">
        <v>60</v>
      </c>
      <c r="C44" s="32">
        <f>23+24</f>
        <v>47</v>
      </c>
      <c r="D44" s="57">
        <v>26</v>
      </c>
      <c r="E44" s="32">
        <v>24</v>
      </c>
      <c r="F44" s="90"/>
      <c r="G44" s="91">
        <f t="shared" si="0"/>
        <v>15</v>
      </c>
      <c r="H44" s="44" t="s">
        <v>109</v>
      </c>
      <c r="J44" s="43">
        <f t="shared" si="1"/>
        <v>13</v>
      </c>
      <c r="K44" s="43">
        <f t="shared" si="2"/>
        <v>2</v>
      </c>
    </row>
    <row r="45" spans="1:14" s="107" customFormat="1" ht="16.5" thickBot="1" x14ac:dyDescent="0.3">
      <c r="A45" s="100" t="s">
        <v>43</v>
      </c>
      <c r="B45" s="101">
        <v>133</v>
      </c>
      <c r="C45" s="102">
        <f>19+108</f>
        <v>127</v>
      </c>
      <c r="D45" s="103">
        <v>76</v>
      </c>
      <c r="E45" s="102">
        <f>4+72</f>
        <v>76</v>
      </c>
      <c r="F45" s="104"/>
      <c r="G45" s="105">
        <f t="shared" si="0"/>
        <v>6</v>
      </c>
      <c r="H45" s="110" t="s">
        <v>129</v>
      </c>
      <c r="J45" s="108">
        <f t="shared" si="1"/>
        <v>6</v>
      </c>
      <c r="K45" s="108">
        <f t="shared" si="2"/>
        <v>0</v>
      </c>
    </row>
    <row r="46" spans="1:14" s="11" customFormat="1" ht="16.5" thickBot="1" x14ac:dyDescent="0.3">
      <c r="A46" s="17" t="s">
        <v>44</v>
      </c>
      <c r="B46" s="33">
        <v>85</v>
      </c>
      <c r="C46" s="33">
        <v>85</v>
      </c>
      <c r="D46" s="57">
        <v>28</v>
      </c>
      <c r="E46" s="10">
        <v>28</v>
      </c>
      <c r="F46" s="12"/>
      <c r="G46" s="9">
        <f t="shared" si="0"/>
        <v>0</v>
      </c>
      <c r="H46" s="19"/>
      <c r="J46" s="43">
        <f t="shared" si="1"/>
        <v>0</v>
      </c>
      <c r="K46" s="43">
        <f t="shared" si="2"/>
        <v>0</v>
      </c>
    </row>
    <row r="47" spans="1:14" s="11" customFormat="1" ht="16.5" thickBot="1" x14ac:dyDescent="0.3">
      <c r="A47" s="17" t="s">
        <v>45</v>
      </c>
      <c r="B47" s="13">
        <v>72</v>
      </c>
      <c r="C47" s="10">
        <f>6+65</f>
        <v>71</v>
      </c>
      <c r="D47" s="57">
        <v>31</v>
      </c>
      <c r="E47" s="10">
        <f>1+30</f>
        <v>31</v>
      </c>
      <c r="F47" s="12"/>
      <c r="G47" s="9">
        <f t="shared" si="0"/>
        <v>1</v>
      </c>
      <c r="H47" s="19" t="s">
        <v>128</v>
      </c>
      <c r="J47" s="43">
        <f t="shared" si="1"/>
        <v>1</v>
      </c>
      <c r="K47" s="43">
        <f t="shared" si="2"/>
        <v>0</v>
      </c>
    </row>
    <row r="48" spans="1:14" s="11" customFormat="1" ht="16.5" thickBot="1" x14ac:dyDescent="0.3">
      <c r="A48" s="17" t="s">
        <v>46</v>
      </c>
      <c r="B48" s="13">
        <v>84</v>
      </c>
      <c r="C48" s="10">
        <f>74+8</f>
        <v>82</v>
      </c>
      <c r="D48" s="57">
        <v>27</v>
      </c>
      <c r="E48" s="10">
        <f>1+26</f>
        <v>27</v>
      </c>
      <c r="F48" s="12"/>
      <c r="G48" s="9">
        <f t="shared" si="0"/>
        <v>2</v>
      </c>
      <c r="H48" s="19" t="s">
        <v>101</v>
      </c>
      <c r="J48" s="43">
        <f t="shared" si="1"/>
        <v>2</v>
      </c>
      <c r="K48" s="43">
        <f t="shared" si="2"/>
        <v>0</v>
      </c>
    </row>
    <row r="49" spans="1:67" s="107" customFormat="1" ht="16.5" thickBot="1" x14ac:dyDescent="0.3">
      <c r="A49" s="100" t="s">
        <v>47</v>
      </c>
      <c r="B49" s="101">
        <v>54</v>
      </c>
      <c r="C49" s="102">
        <f>6+47</f>
        <v>53</v>
      </c>
      <c r="D49" s="103">
        <v>47</v>
      </c>
      <c r="E49" s="102">
        <f>42+4+1</f>
        <v>47</v>
      </c>
      <c r="F49" s="104"/>
      <c r="G49" s="105">
        <f t="shared" si="0"/>
        <v>1</v>
      </c>
      <c r="H49" s="110" t="s">
        <v>128</v>
      </c>
      <c r="J49" s="108">
        <f t="shared" si="1"/>
        <v>1</v>
      </c>
      <c r="K49" s="108">
        <f t="shared" si="2"/>
        <v>0</v>
      </c>
    </row>
    <row r="50" spans="1:67" s="107" customFormat="1" ht="16.5" thickBot="1" x14ac:dyDescent="0.3">
      <c r="A50" s="100" t="s">
        <v>48</v>
      </c>
      <c r="B50" s="101">
        <v>56</v>
      </c>
      <c r="C50" s="102">
        <f>8+47</f>
        <v>55</v>
      </c>
      <c r="D50" s="103">
        <v>28</v>
      </c>
      <c r="E50" s="102">
        <f>23+1+1+1+2</f>
        <v>28</v>
      </c>
      <c r="F50" s="104"/>
      <c r="G50" s="105">
        <f t="shared" si="0"/>
        <v>1</v>
      </c>
      <c r="H50" s="110" t="s">
        <v>128</v>
      </c>
      <c r="J50" s="108">
        <f t="shared" si="1"/>
        <v>1</v>
      </c>
      <c r="K50" s="108">
        <f t="shared" si="2"/>
        <v>0</v>
      </c>
    </row>
    <row r="51" spans="1:67" s="107" customFormat="1" ht="30.75" thickBot="1" x14ac:dyDescent="0.3">
      <c r="A51" s="100" t="s">
        <v>49</v>
      </c>
      <c r="B51" s="101">
        <v>93</v>
      </c>
      <c r="C51" s="102">
        <v>92</v>
      </c>
      <c r="D51" s="103">
        <v>48</v>
      </c>
      <c r="E51" s="102">
        <f>46+1</f>
        <v>47</v>
      </c>
      <c r="F51" s="104"/>
      <c r="G51" s="105">
        <f t="shared" si="0"/>
        <v>2</v>
      </c>
      <c r="H51" s="110" t="s">
        <v>133</v>
      </c>
      <c r="J51" s="108">
        <f t="shared" si="1"/>
        <v>1</v>
      </c>
      <c r="K51" s="108">
        <f t="shared" si="2"/>
        <v>1</v>
      </c>
    </row>
    <row r="52" spans="1:67" s="11" customFormat="1" ht="16.5" thickBot="1" x14ac:dyDescent="0.3">
      <c r="A52" s="17" t="s">
        <v>50</v>
      </c>
      <c r="B52" s="13">
        <v>61</v>
      </c>
      <c r="C52" s="10">
        <f>9+51</f>
        <v>60</v>
      </c>
      <c r="D52" s="57">
        <v>19</v>
      </c>
      <c r="E52" s="10">
        <f>2+17</f>
        <v>19</v>
      </c>
      <c r="F52" s="12"/>
      <c r="G52" s="9">
        <f t="shared" si="0"/>
        <v>1</v>
      </c>
      <c r="H52" s="19" t="s">
        <v>110</v>
      </c>
      <c r="J52" s="43">
        <f t="shared" si="1"/>
        <v>1</v>
      </c>
      <c r="K52" s="43">
        <f t="shared" si="2"/>
        <v>0</v>
      </c>
    </row>
    <row r="53" spans="1:67" ht="16.5" thickBot="1" x14ac:dyDescent="0.3">
      <c r="A53" s="15" t="s">
        <v>51</v>
      </c>
      <c r="B53" s="13">
        <v>38</v>
      </c>
      <c r="C53" s="10">
        <v>35</v>
      </c>
      <c r="D53" s="57">
        <v>45</v>
      </c>
      <c r="E53" s="2">
        <v>37</v>
      </c>
      <c r="F53" s="3"/>
      <c r="G53" s="4">
        <f t="shared" si="0"/>
        <v>11</v>
      </c>
      <c r="H53" s="19" t="s">
        <v>139</v>
      </c>
      <c r="J53" s="36">
        <f t="shared" si="1"/>
        <v>3</v>
      </c>
      <c r="K53" s="36">
        <f t="shared" si="2"/>
        <v>8</v>
      </c>
    </row>
    <row r="54" spans="1:67" s="11" customFormat="1" ht="16.5" thickBot="1" x14ac:dyDescent="0.3">
      <c r="A54" s="17" t="s">
        <v>52</v>
      </c>
      <c r="B54" s="13">
        <v>85</v>
      </c>
      <c r="C54" s="10">
        <f>9+76</f>
        <v>85</v>
      </c>
      <c r="D54" s="57">
        <v>51</v>
      </c>
      <c r="E54" s="10">
        <f>4+41+6</f>
        <v>51</v>
      </c>
      <c r="F54" s="12"/>
      <c r="G54" s="9">
        <f t="shared" si="0"/>
        <v>0</v>
      </c>
      <c r="H54" s="19"/>
      <c r="J54" s="43">
        <f t="shared" si="1"/>
        <v>0</v>
      </c>
      <c r="K54" s="43">
        <f t="shared" si="2"/>
        <v>0</v>
      </c>
    </row>
    <row r="55" spans="1:67" s="11" customFormat="1" ht="16.5" thickBot="1" x14ac:dyDescent="0.3">
      <c r="A55" s="17" t="s">
        <v>53</v>
      </c>
      <c r="B55" s="13">
        <v>7</v>
      </c>
      <c r="C55" s="10">
        <v>7</v>
      </c>
      <c r="D55" s="57"/>
      <c r="E55" s="10"/>
      <c r="F55" s="12">
        <v>16</v>
      </c>
      <c r="G55" s="9">
        <f t="shared" si="0"/>
        <v>0</v>
      </c>
      <c r="H55" s="19"/>
      <c r="J55" s="43">
        <f t="shared" si="1"/>
        <v>0</v>
      </c>
      <c r="K55" s="43">
        <f t="shared" si="2"/>
        <v>0</v>
      </c>
    </row>
    <row r="56" spans="1:67" s="11" customFormat="1" ht="16.5" thickBot="1" x14ac:dyDescent="0.3">
      <c r="A56" s="17" t="s">
        <v>54</v>
      </c>
      <c r="B56" s="13">
        <v>97</v>
      </c>
      <c r="C56" s="10">
        <f>7+90</f>
        <v>97</v>
      </c>
      <c r="D56" s="57">
        <v>54</v>
      </c>
      <c r="E56" s="10">
        <v>54</v>
      </c>
      <c r="F56" s="12"/>
      <c r="G56" s="9">
        <f t="shared" si="0"/>
        <v>0</v>
      </c>
      <c r="H56" s="19"/>
      <c r="J56" s="43">
        <f t="shared" si="1"/>
        <v>0</v>
      </c>
      <c r="K56" s="43">
        <f t="shared" si="2"/>
        <v>0</v>
      </c>
    </row>
    <row r="57" spans="1:67" s="127" customFormat="1" ht="16.5" thickBot="1" x14ac:dyDescent="0.3">
      <c r="A57" s="121" t="s">
        <v>55</v>
      </c>
      <c r="B57" s="122">
        <v>77</v>
      </c>
      <c r="C57" s="123">
        <f>13+66</f>
        <v>79</v>
      </c>
      <c r="D57" s="111">
        <v>54</v>
      </c>
      <c r="E57" s="123">
        <v>51</v>
      </c>
      <c r="F57" s="124"/>
      <c r="G57" s="125">
        <f t="shared" si="0"/>
        <v>1</v>
      </c>
      <c r="H57" s="126" t="s">
        <v>140</v>
      </c>
      <c r="J57" s="128">
        <f t="shared" si="1"/>
        <v>-2</v>
      </c>
      <c r="K57" s="128">
        <f t="shared" si="2"/>
        <v>3</v>
      </c>
    </row>
    <row r="58" spans="1:67" s="11" customFormat="1" ht="16.5" thickBot="1" x14ac:dyDescent="0.3">
      <c r="A58" s="17" t="s">
        <v>56</v>
      </c>
      <c r="B58" s="13">
        <v>98</v>
      </c>
      <c r="C58" s="10">
        <f>7+86</f>
        <v>93</v>
      </c>
      <c r="D58" s="57">
        <f>6+102</f>
        <v>108</v>
      </c>
      <c r="E58" s="10">
        <f>3+105</f>
        <v>108</v>
      </c>
      <c r="F58" s="12"/>
      <c r="G58" s="9">
        <f t="shared" si="0"/>
        <v>5</v>
      </c>
      <c r="H58" s="44" t="s">
        <v>141</v>
      </c>
      <c r="J58" s="43">
        <f t="shared" si="1"/>
        <v>5</v>
      </c>
      <c r="K58" s="43">
        <f t="shared" si="2"/>
        <v>0</v>
      </c>
    </row>
    <row r="59" spans="1:67" s="11" customFormat="1" ht="16.5" thickBot="1" x14ac:dyDescent="0.3">
      <c r="A59" s="17" t="s">
        <v>57</v>
      </c>
      <c r="B59" s="13">
        <v>89</v>
      </c>
      <c r="C59" s="10">
        <f>81+1+6+1</f>
        <v>89</v>
      </c>
      <c r="D59" s="57">
        <v>30</v>
      </c>
      <c r="E59" s="10">
        <f>1+22+3+3</f>
        <v>29</v>
      </c>
      <c r="F59" s="12"/>
      <c r="G59" s="9">
        <f t="shared" si="0"/>
        <v>1</v>
      </c>
      <c r="H59" s="19" t="s">
        <v>72</v>
      </c>
      <c r="J59" s="43">
        <f t="shared" si="1"/>
        <v>0</v>
      </c>
      <c r="K59" s="43">
        <f t="shared" si="2"/>
        <v>1</v>
      </c>
    </row>
    <row r="60" spans="1:67" s="11" customFormat="1" ht="16.5" thickBot="1" x14ac:dyDescent="0.3">
      <c r="A60" s="17" t="s">
        <v>58</v>
      </c>
      <c r="B60" s="13">
        <v>97</v>
      </c>
      <c r="C60" s="10">
        <f>11+85</f>
        <v>96</v>
      </c>
      <c r="D60" s="57">
        <v>52</v>
      </c>
      <c r="E60" s="10">
        <f>1+46+3</f>
        <v>50</v>
      </c>
      <c r="F60" s="12"/>
      <c r="G60" s="9">
        <f t="shared" si="0"/>
        <v>3</v>
      </c>
      <c r="H60" s="19" t="s">
        <v>72</v>
      </c>
      <c r="J60" s="43">
        <f t="shared" si="1"/>
        <v>1</v>
      </c>
      <c r="K60" s="43">
        <f t="shared" si="2"/>
        <v>2</v>
      </c>
    </row>
    <row r="61" spans="1:67" ht="16.5" thickBot="1" x14ac:dyDescent="0.3">
      <c r="A61" s="15" t="s">
        <v>59</v>
      </c>
      <c r="B61" s="13">
        <v>87</v>
      </c>
      <c r="C61" s="2">
        <f>5+82</f>
        <v>87</v>
      </c>
      <c r="D61" s="56"/>
      <c r="E61" s="2"/>
      <c r="F61" s="3"/>
      <c r="G61" s="4">
        <f t="shared" si="0"/>
        <v>0</v>
      </c>
      <c r="H61" s="18"/>
      <c r="I61" s="11"/>
      <c r="J61" s="36">
        <f t="shared" si="1"/>
        <v>0</v>
      </c>
      <c r="K61" s="36">
        <f t="shared" si="2"/>
        <v>0</v>
      </c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</row>
    <row r="62" spans="1:67" ht="16.5" thickBot="1" x14ac:dyDescent="0.3">
      <c r="A62" s="15" t="s">
        <v>60</v>
      </c>
      <c r="B62" s="13">
        <v>94</v>
      </c>
      <c r="C62" s="2">
        <v>93</v>
      </c>
      <c r="D62" s="56"/>
      <c r="E62" s="2"/>
      <c r="F62" s="3"/>
      <c r="G62" s="4">
        <f t="shared" si="0"/>
        <v>1</v>
      </c>
      <c r="H62" s="18" t="s">
        <v>108</v>
      </c>
      <c r="I62" s="11"/>
      <c r="J62" s="36">
        <f t="shared" si="1"/>
        <v>1</v>
      </c>
      <c r="K62" s="36">
        <f t="shared" si="2"/>
        <v>0</v>
      </c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</row>
    <row r="63" spans="1:67" s="11" customFormat="1" ht="30.75" customHeight="1" thickBot="1" x14ac:dyDescent="0.3">
      <c r="A63" s="17" t="s">
        <v>61</v>
      </c>
      <c r="B63" s="13">
        <v>12</v>
      </c>
      <c r="C63" s="10">
        <v>12</v>
      </c>
      <c r="D63" s="57">
        <v>10</v>
      </c>
      <c r="E63" s="10">
        <v>10</v>
      </c>
      <c r="F63" s="12"/>
      <c r="G63" s="9">
        <f t="shared" si="0"/>
        <v>0</v>
      </c>
      <c r="H63" s="19"/>
      <c r="J63" s="43">
        <f t="shared" si="1"/>
        <v>0</v>
      </c>
      <c r="K63" s="43">
        <f t="shared" si="2"/>
        <v>0</v>
      </c>
    </row>
    <row r="64" spans="1:67" s="11" customFormat="1" ht="32.25" thickBot="1" x14ac:dyDescent="0.3">
      <c r="A64" s="17" t="s">
        <v>62</v>
      </c>
      <c r="B64" s="13">
        <v>13</v>
      </c>
      <c r="C64" s="10">
        <f>1+12</f>
        <v>13</v>
      </c>
      <c r="D64" s="57">
        <v>9</v>
      </c>
      <c r="E64" s="10">
        <v>9</v>
      </c>
      <c r="F64" s="12"/>
      <c r="G64" s="9">
        <f t="shared" si="0"/>
        <v>0</v>
      </c>
      <c r="H64" s="19"/>
      <c r="J64" s="43">
        <f t="shared" si="1"/>
        <v>0</v>
      </c>
      <c r="K64" s="43">
        <f t="shared" si="2"/>
        <v>0</v>
      </c>
    </row>
    <row r="65" spans="1:11" s="11" customFormat="1" ht="16.5" thickBot="1" x14ac:dyDescent="0.3">
      <c r="A65" s="17" t="s">
        <v>63</v>
      </c>
      <c r="B65" s="86">
        <v>45</v>
      </c>
      <c r="C65" s="87">
        <f>14+30</f>
        <v>44</v>
      </c>
      <c r="D65" s="88">
        <v>21</v>
      </c>
      <c r="E65" s="87">
        <f>18+2</f>
        <v>20</v>
      </c>
      <c r="F65" s="12"/>
      <c r="G65" s="9">
        <f t="shared" si="0"/>
        <v>2</v>
      </c>
      <c r="H65" s="89" t="s">
        <v>72</v>
      </c>
      <c r="J65" s="43">
        <f t="shared" si="1"/>
        <v>1</v>
      </c>
      <c r="K65" s="43">
        <f t="shared" si="2"/>
        <v>1</v>
      </c>
    </row>
    <row r="66" spans="1:11" x14ac:dyDescent="0.25">
      <c r="B66">
        <f>SUM(B2:B65)</f>
        <v>4329</v>
      </c>
      <c r="C66">
        <f t="shared" ref="C66:F66" si="3">SUM(C2:C65)</f>
        <v>4179</v>
      </c>
      <c r="D66" s="59">
        <f>SUM(D2:D65)</f>
        <v>2157</v>
      </c>
      <c r="E66">
        <f t="shared" si="3"/>
        <v>2102</v>
      </c>
      <c r="F66">
        <f t="shared" si="3"/>
        <v>73</v>
      </c>
      <c r="G66" s="4">
        <f>(B66+D66)-(C66+E66)</f>
        <v>205</v>
      </c>
    </row>
    <row r="67" spans="1:11" x14ac:dyDescent="0.25">
      <c r="C67">
        <f>B66-C66</f>
        <v>150</v>
      </c>
      <c r="E67">
        <f>D66-E66</f>
        <v>55</v>
      </c>
    </row>
  </sheetData>
  <autoFilter ref="A1:BO6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07.07.2023</vt:lpstr>
      <vt:lpstr>10.07.2023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2023-07-11T07:09:50Z</dcterms:modified>
</cp:coreProperties>
</file>